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2980" windowHeight="9528" activeTab="1"/>
  </bookViews>
  <sheets>
    <sheet name="Прил1" sheetId="1" r:id="rId1"/>
    <sheet name="Прил 2" sheetId="2" r:id="rId2"/>
  </sheets>
  <definedNames>
    <definedName name="_xlnm.Print_Titles" localSheetId="1">'Прил 2'!$6:$6</definedName>
    <definedName name="_xlnm.Print_Titles" localSheetId="0">Прил1!$6:$7</definedName>
  </definedNames>
  <calcPr calcId="125725"/>
</workbook>
</file>

<file path=xl/calcChain.xml><?xml version="1.0" encoding="utf-8"?>
<calcChain xmlns="http://schemas.openxmlformats.org/spreadsheetml/2006/main">
  <c r="I45" i="2"/>
  <c r="I44"/>
  <c r="J30"/>
  <c r="H30"/>
  <c r="G30"/>
  <c r="C30"/>
  <c r="D29"/>
  <c r="E29" s="1"/>
  <c r="I28"/>
  <c r="E28"/>
  <c r="D28"/>
  <c r="D27"/>
  <c r="E27" s="1"/>
  <c r="F27" s="1"/>
  <c r="E26"/>
  <c r="F26" s="1"/>
  <c r="D26"/>
  <c r="D25"/>
  <c r="E25" s="1"/>
  <c r="F25" s="1"/>
  <c r="I24"/>
  <c r="D24"/>
  <c r="E24" s="1"/>
  <c r="F24" s="1"/>
  <c r="D23"/>
  <c r="E23" s="1"/>
  <c r="I22"/>
  <c r="D22"/>
  <c r="E22" s="1"/>
  <c r="F22" s="1"/>
  <c r="I21"/>
  <c r="D21"/>
  <c r="E21" s="1"/>
  <c r="F21" s="1"/>
  <c r="I20"/>
  <c r="D20"/>
  <c r="E20" s="1"/>
  <c r="F20" s="1"/>
  <c r="I19"/>
  <c r="D19"/>
  <c r="E19" s="1"/>
  <c r="F19" s="1"/>
  <c r="I18"/>
  <c r="D18"/>
  <c r="E18" s="1"/>
  <c r="F18" s="1"/>
  <c r="I17"/>
  <c r="D17"/>
  <c r="E17" s="1"/>
  <c r="F17" s="1"/>
  <c r="I16"/>
  <c r="D16"/>
  <c r="E16" s="1"/>
  <c r="F16" s="1"/>
  <c r="I15"/>
  <c r="D15"/>
  <c r="E15" s="1"/>
  <c r="F15" s="1"/>
  <c r="D14"/>
  <c r="E14" s="1"/>
  <c r="F14" s="1"/>
  <c r="D13"/>
  <c r="E13" s="1"/>
  <c r="D12"/>
  <c r="E12" s="1"/>
  <c r="F12" s="1"/>
  <c r="D11"/>
  <c r="E11" s="1"/>
  <c r="F11" s="1"/>
  <c r="I10"/>
  <c r="D10"/>
  <c r="E10" s="1"/>
  <c r="F10" s="1"/>
  <c r="D9"/>
  <c r="E9" s="1"/>
  <c r="F9" s="1"/>
  <c r="D8"/>
  <c r="E8" s="1"/>
  <c r="I7"/>
  <c r="I30" s="1"/>
  <c r="D7"/>
  <c r="D30" s="1"/>
  <c r="E30" s="1"/>
  <c r="F30" s="1"/>
  <c r="D47" i="1"/>
  <c r="C47"/>
  <c r="F46"/>
  <c r="E46"/>
  <c r="G46" s="1"/>
  <c r="H46" s="1"/>
  <c r="F45"/>
  <c r="E45"/>
  <c r="G45" s="1"/>
  <c r="H45" s="1"/>
  <c r="F44"/>
  <c r="E44"/>
  <c r="F43"/>
  <c r="E43"/>
  <c r="G43" s="1"/>
  <c r="H43" s="1"/>
  <c r="F42"/>
  <c r="E42"/>
  <c r="G42" s="1"/>
  <c r="H42" s="1"/>
  <c r="F41"/>
  <c r="E41"/>
  <c r="G41" s="1"/>
  <c r="H41" s="1"/>
  <c r="F40"/>
  <c r="E40"/>
  <c r="G40" s="1"/>
  <c r="H40" s="1"/>
  <c r="F39"/>
  <c r="E39"/>
  <c r="G39" s="1"/>
  <c r="H39" s="1"/>
  <c r="F38"/>
  <c r="E38"/>
  <c r="G38" s="1"/>
  <c r="H38" s="1"/>
  <c r="F37"/>
  <c r="E37"/>
  <c r="G37" s="1"/>
  <c r="H37" s="1"/>
  <c r="F36"/>
  <c r="E36"/>
  <c r="G36" s="1"/>
  <c r="H36" s="1"/>
  <c r="F35"/>
  <c r="E35"/>
  <c r="G35" s="1"/>
  <c r="H35" s="1"/>
  <c r="F34"/>
  <c r="E34"/>
  <c r="G34" s="1"/>
  <c r="H34" s="1"/>
  <c r="F33"/>
  <c r="E33"/>
  <c r="G33" s="1"/>
  <c r="H33" s="1"/>
  <c r="F32"/>
  <c r="E32"/>
  <c r="G32" s="1"/>
  <c r="H32" s="1"/>
  <c r="F31"/>
  <c r="E31"/>
  <c r="G31" s="1"/>
  <c r="H31" s="1"/>
  <c r="F30"/>
  <c r="E30"/>
  <c r="G30" s="1"/>
  <c r="H30" s="1"/>
  <c r="F29"/>
  <c r="E29"/>
  <c r="G29" s="1"/>
  <c r="H29" s="1"/>
  <c r="F28"/>
  <c r="E28"/>
  <c r="G28" s="1"/>
  <c r="H28" s="1"/>
  <c r="F27"/>
  <c r="E27"/>
  <c r="G27" s="1"/>
  <c r="H27" s="1"/>
  <c r="F26"/>
  <c r="E26"/>
  <c r="G26" s="1"/>
  <c r="H26" s="1"/>
  <c r="F25"/>
  <c r="E25"/>
  <c r="G25" s="1"/>
  <c r="H25" s="1"/>
  <c r="F24"/>
  <c r="E24"/>
  <c r="F23"/>
  <c r="E23"/>
  <c r="G23" s="1"/>
  <c r="H23" s="1"/>
  <c r="E22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F10"/>
  <c r="E10"/>
  <c r="G10" s="1"/>
  <c r="F9"/>
  <c r="E9"/>
  <c r="G9" s="1"/>
  <c r="H9" s="1"/>
  <c r="F8"/>
  <c r="E8"/>
  <c r="E47" s="1"/>
  <c r="F47" s="1"/>
  <c r="E7" i="2" l="1"/>
  <c r="F7" s="1"/>
  <c r="G11" i="1"/>
  <c r="H11" s="1"/>
  <c r="G12"/>
  <c r="H12" s="1"/>
  <c r="G13"/>
  <c r="H13" s="1"/>
  <c r="G14"/>
  <c r="H14" s="1"/>
  <c r="G15"/>
  <c r="H15" s="1"/>
  <c r="G16"/>
  <c r="H16" s="1"/>
  <c r="G17"/>
  <c r="H17" s="1"/>
  <c r="G18"/>
  <c r="H18" s="1"/>
  <c r="G19"/>
  <c r="H19" s="1"/>
  <c r="G21"/>
  <c r="H21" s="1"/>
  <c r="G8"/>
  <c r="G47" l="1"/>
  <c r="H47" s="1"/>
  <c r="H8"/>
</calcChain>
</file>

<file path=xl/sharedStrings.xml><?xml version="1.0" encoding="utf-8"?>
<sst xmlns="http://schemas.openxmlformats.org/spreadsheetml/2006/main" count="124" uniqueCount="118">
  <si>
    <t>Приложение № 1</t>
  </si>
  <si>
    <t>Сравнительный анализ показателей действующего закона о бюджете (с учетом рассмотренных поправок) и законопроекта о бюджете на 2018 год в разрезе ГАБС</t>
  </si>
  <si>
    <t>(тыс. руб.)</t>
  </si>
  <si>
    <t>код ведомства</t>
  </si>
  <si>
    <t>наименование ГАБС</t>
  </si>
  <si>
    <t>Бюджет 2017 (с учетом поправок)</t>
  </si>
  <si>
    <t>Проект бюджета 2018</t>
  </si>
  <si>
    <t>Проект бюджета 2018 (с учетом поправок ко 2 чтению)</t>
  </si>
  <si>
    <t>отклонение 1 (результат после 1-го чтения)</t>
  </si>
  <si>
    <t>отклонение 2 (проект бюджета с поправками ко 2 чтению к бюджету 2017 года)</t>
  </si>
  <si>
    <t xml:space="preserve">% изменений проекта 2018 года к текущему году </t>
  </si>
  <si>
    <t>3</t>
  </si>
  <si>
    <t>4</t>
  </si>
  <si>
    <t>5</t>
  </si>
  <si>
    <t>6=5-4</t>
  </si>
  <si>
    <t>7=5-3</t>
  </si>
  <si>
    <t>8=7/3*100</t>
  </si>
  <si>
    <t>Волгоградская областная Дума</t>
  </si>
  <si>
    <t>802</t>
  </si>
  <si>
    <t>Аппарат Губернатора и Правительства Волгоградской области</t>
  </si>
  <si>
    <t>Управление делами администрации Волгоградской области</t>
  </si>
  <si>
    <t>в 6 раз</t>
  </si>
  <si>
    <t>803</t>
  </si>
  <si>
    <t>Комитет юстиции Волгоградской области</t>
  </si>
  <si>
    <t>Комитет по обеспечению безопасности жизнедеятельности населения Волгоградской области</t>
  </si>
  <si>
    <t>Комитет строительства  Волгоградской области</t>
  </si>
  <si>
    <t>809</t>
  </si>
  <si>
    <t>Комитет по делам национальностей и казачества Волгоградской области</t>
  </si>
  <si>
    <t>Комитет тарифного регулирования Волгоградской области</t>
  </si>
  <si>
    <t>Комитет здравоохранения Волгоградской области</t>
  </si>
  <si>
    <t>812</t>
  </si>
  <si>
    <t>Комитет культуры Волгоградской области</t>
  </si>
  <si>
    <t>813</t>
  </si>
  <si>
    <t>Комитет образования и науки Волгоградской области</t>
  </si>
  <si>
    <t>814</t>
  </si>
  <si>
    <t>Комитет природных ресурсов, лесного хозяйства и экологии Волгоградской области</t>
  </si>
  <si>
    <t>Комитет лесного хозяйства Волгоградской области</t>
  </si>
  <si>
    <t>816</t>
  </si>
  <si>
    <t>Комитет сельского хозяйства Волгоградской области</t>
  </si>
  <si>
    <t>806</t>
  </si>
  <si>
    <t>Инспекция государственного надзора за техническим состоянием самоходных машин и других видов техники Волгоградской области</t>
  </si>
  <si>
    <t>Комитет жилищно-коммунального хозяйства и топливно-энергетического комплекса Волгоградской области</t>
  </si>
  <si>
    <t>Комитет топливно-энергетического комплекса Волгоградской области</t>
  </si>
  <si>
    <t>818</t>
  </si>
  <si>
    <t>Комитет по управлению государственным имуществом Волгоградской области</t>
  </si>
  <si>
    <t>819</t>
  </si>
  <si>
    <t>Комитет физической культуры и спорта Волгоградской области</t>
  </si>
  <si>
    <t>820</t>
  </si>
  <si>
    <t>Комитет экономической политики и развития Волгоградской области</t>
  </si>
  <si>
    <t>821</t>
  </si>
  <si>
    <t>Представительство Волгоградской области в городе Москве</t>
  </si>
  <si>
    <t>823</t>
  </si>
  <si>
    <t>Комитет ветеринарии Волгоградской области</t>
  </si>
  <si>
    <t>825</t>
  </si>
  <si>
    <t>Комитет социальной защиты населения Волгоградской области</t>
  </si>
  <si>
    <t>827</t>
  </si>
  <si>
    <t>Комитет финансов Волгоградской области</t>
  </si>
  <si>
    <t>Комитет транспорта и дорожного хозяйства Волгоградской области</t>
  </si>
  <si>
    <t>831</t>
  </si>
  <si>
    <t>Контрольно-счетная палата Волгоградской области</t>
  </si>
  <si>
    <t>832</t>
  </si>
  <si>
    <t>Избирательная комиссия Волгоградской области</t>
  </si>
  <si>
    <t>833</t>
  </si>
  <si>
    <t>Комитет архитектуры и градостроительства Волгоградской области</t>
  </si>
  <si>
    <t>834</t>
  </si>
  <si>
    <t>Инспекция государственного жилищного надзора Волгоградской области</t>
  </si>
  <si>
    <t>Комитет государственной охраны объектов культурного наследия Волгоградской области</t>
  </si>
  <si>
    <t>837</t>
  </si>
  <si>
    <t>Комитет информационных технологий Волгоградской области</t>
  </si>
  <si>
    <t>840</t>
  </si>
  <si>
    <t>Инспекция государственного строительного надзора Волгоградской области</t>
  </si>
  <si>
    <t>Комитет промышленности и торговли Волгоградской области</t>
  </si>
  <si>
    <t>Комитет по подготовке и проведению матчей чемпионата мира по футболу 2018 года Волгоградской области</t>
  </si>
  <si>
    <t>Комитет по труду и занятости населения Волгоградской области</t>
  </si>
  <si>
    <t>Комитет по делам территориальных образований, внутренней и информационной политики Волгоградской области</t>
  </si>
  <si>
    <t>815</t>
  </si>
  <si>
    <t>Комитет информационной политики Волгоградской области</t>
  </si>
  <si>
    <t>Комитет по регулированию контрактной системы в сфере закупок Волгоградской области</t>
  </si>
  <si>
    <t>Комитет молодежной политики Волгоградской области</t>
  </si>
  <si>
    <t>ИТОГО:</t>
  </si>
  <si>
    <t>Руководитель</t>
  </si>
  <si>
    <t>сводно-аналитического сектора</t>
  </si>
  <si>
    <t>контрольно-счетной палаты</t>
  </si>
  <si>
    <t>Волгоградской области</t>
  </si>
  <si>
    <t>О.Г. Самарцева</t>
  </si>
  <si>
    <t>Приложение №  2</t>
  </si>
  <si>
    <t>Сравнительный анализ показателей внесенного законопроекта и поправок к 1 чтению в разрезе госпрограмм</t>
  </si>
  <si>
    <t>тыс. руб.</t>
  </si>
  <si>
    <t>№ п/п</t>
  </si>
  <si>
    <t>наименование ГП</t>
  </si>
  <si>
    <t>внесенный законопроект</t>
  </si>
  <si>
    <t>результат поправки к 1 чтению</t>
  </si>
  <si>
    <t>Содержание поправки (+, -) тыс. руб.</t>
  </si>
  <si>
    <t>% изменений</t>
  </si>
  <si>
    <t>Государственная программа Волгоградской области "Развитие гражданского общества на территории Волгоградской области" на 2018-2020 годы</t>
  </si>
  <si>
    <t>Государственная программа Волгоградской области "Обеспечение безопасности жизнедеятельности на территории Волгоградской области" на 2018-2022 годы</t>
  </si>
  <si>
    <t>Государственная программа Волгоградской области "Региональная молодежная политика Волгоградской области" на 2017-2020 годы</t>
  </si>
  <si>
    <t>Государственная программа Волгоградской области "Энергосбережение и повышение энергетической эффективности Волгоградской области на период до 2020 года"</t>
  </si>
  <si>
    <t>Государственная программа Волгоградской области "Развитие здравоохранения Волгоградской области на 2014-2016 годы и на период до 2020 года"</t>
  </si>
  <si>
    <t>Государственная программа Волгоградской области "Развитие образования" на 2014 - 2020 годы</t>
  </si>
  <si>
    <t>Государственная программа Волгоградской области "Охрана окружающей среды на территории Волгоградской области" на 2014-2020 годы</t>
  </si>
  <si>
    <t>в 1,7 раза</t>
  </si>
  <si>
    <t>Государственная программа Волгоградской области "Использование и охрана водных объектов, предотвращение негативного воздействия вод на территории Волгоградской области" на 2014-2020 годы</t>
  </si>
  <si>
    <t>Государственная программа Волгоградской области "Развитие сельского хозяйства и регулирование рынков сельскохозяйственной продукции, сырья и продовольствия"</t>
  </si>
  <si>
    <t>Государственная программа Волгоградской области "Устойчивое развитие сельских территорий на 2014 - 2017 годы и на период до 2020 года"</t>
  </si>
  <si>
    <t>Государственная программа Волгоградской области "Развитие физической культуры и спорта в Волгоградской области" на 2014-2018 годы</t>
  </si>
  <si>
    <t>Государственная программа Волгоградской области "Экономическое развитие и инновационная экономика"</t>
  </si>
  <si>
    <t>Государственная программа Волгоградской области "Социальная поддержка и защита населения" на 2018-2020 годы</t>
  </si>
  <si>
    <t>Государственная программа Волгоградской области "Управление государственными финансами Волгоградской области"</t>
  </si>
  <si>
    <t>Государственная программа Волгоградской области "Развитие транспортной системы и обеспечение безопасности дорожного движения в Волгоградской области"</t>
  </si>
  <si>
    <t>Государственная программа Волгоградской области "Развитие информационного общества Волгоградской области (2018-2020 годы)"</t>
  </si>
  <si>
    <t>Государственная программа Волгоградской области "Развитие рынка труда и обеспечение занятости в Волгоградской области" на 2018-2020 годы</t>
  </si>
  <si>
    <t>Государственная программа Волгоградской области "Профилактика правонарушений и обеспечение общественной безопасности на территории Волгоградской области" на 2014-2019 годы</t>
  </si>
  <si>
    <t>Государственная программа Волгоградской области "Развитие культуры и туризма в Волгоградской области" на 2015-2020 годы</t>
  </si>
  <si>
    <t>Государственная программа "Формирование современной городской среды Волгоградской области" 2018 - 2022 годы</t>
  </si>
  <si>
    <t>Государственная программа Волгоградской области "Обеспечение доступным и комфортным жильем жителей Волгоградской области" на 2016 - 2020 годы</t>
  </si>
  <si>
    <t>Государственная программа Волгоградской области "Использование результатов космической деятельности в интересах социально-экономического и инновационного развития Волгоградской области на 2014-2018 годы"</t>
  </si>
  <si>
    <t>Государственная программа Волгоградской области "Организация отдыха и оздоровления детей, проживающих в Волгоградской области" на 2016-2018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</si>
</sst>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3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color indexed="8"/>
      <name val="Tahoma"/>
      <family val="2"/>
      <charset val="204"/>
    </font>
    <font>
      <sz val="12"/>
      <color indexed="8"/>
      <name val="Tahoma"/>
      <family val="2"/>
      <charset val="204"/>
    </font>
    <font>
      <sz val="14"/>
      <name val="Courier New"/>
      <family val="3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5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7" fillId="4" borderId="0" applyNumberFormat="0" applyBorder="0" applyAlignment="0" applyProtection="0"/>
    <xf numFmtId="0" fontId="18" fillId="21" borderId="4" applyNumberFormat="0" applyAlignment="0" applyProtection="0"/>
    <xf numFmtId="0" fontId="19" fillId="22" borderId="5" applyNumberFormat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4" applyNumberFormat="0" applyAlignment="0" applyProtection="0"/>
    <xf numFmtId="0" fontId="26" fillId="0" borderId="9" applyNumberFormat="0" applyFill="0" applyAlignment="0" applyProtection="0"/>
    <xf numFmtId="0" fontId="27" fillId="23" borderId="0" applyNumberFormat="0" applyBorder="0" applyAlignment="0" applyProtection="0"/>
    <xf numFmtId="0" fontId="28" fillId="0" borderId="0"/>
    <xf numFmtId="0" fontId="29" fillId="24" borderId="10" applyNumberFormat="0" applyFont="0" applyAlignment="0" applyProtection="0"/>
    <xf numFmtId="0" fontId="30" fillId="21" borderId="11" applyNumberFormat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29" fillId="0" borderId="0"/>
    <xf numFmtId="0" fontId="1" fillId="0" borderId="0"/>
    <xf numFmtId="9" fontId="5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164" fontId="2" fillId="0" borderId="0" xfId="0" applyNumberFormat="1" applyFont="1" applyFill="1"/>
    <xf numFmtId="0" fontId="2" fillId="0" borderId="0" xfId="0" applyFont="1" applyFill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left" vertical="center" wrapText="1"/>
    </xf>
    <xf numFmtId="0" fontId="8" fillId="0" borderId="0" xfId="1" applyFont="1" applyAlignment="1">
      <alignment horizontal="right" vertical="center"/>
    </xf>
    <xf numFmtId="17" fontId="9" fillId="2" borderId="1" xfId="1" applyNumberFormat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17" fontId="9" fillId="2" borderId="2" xfId="1" applyNumberFormat="1" applyFont="1" applyFill="1" applyBorder="1" applyAlignment="1">
      <alignment horizontal="center" vertical="center" wrapText="1"/>
    </xf>
    <xf numFmtId="0" fontId="2" fillId="0" borderId="0" xfId="1" applyFont="1"/>
    <xf numFmtId="49" fontId="9" fillId="2" borderId="1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top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164" fontId="7" fillId="0" borderId="2" xfId="0" applyNumberFormat="1" applyFont="1" applyFill="1" applyBorder="1"/>
    <xf numFmtId="164" fontId="12" fillId="0" borderId="2" xfId="1" applyNumberFormat="1" applyFont="1" applyFill="1" applyBorder="1" applyAlignment="1">
      <alignment horizontal="right" vertical="center" wrapText="1"/>
    </xf>
    <xf numFmtId="164" fontId="7" fillId="0" borderId="2" xfId="0" applyNumberFormat="1" applyFont="1" applyBorder="1"/>
    <xf numFmtId="164" fontId="7" fillId="0" borderId="2" xfId="0" applyNumberFormat="1" applyFont="1" applyBorder="1" applyAlignment="1">
      <alignment horizontal="right"/>
    </xf>
    <xf numFmtId="0" fontId="11" fillId="0" borderId="2" xfId="0" applyNumberFormat="1" applyFont="1" applyFill="1" applyBorder="1" applyAlignment="1" applyProtection="1">
      <alignment horizontal="left" vertical="top" wrapText="1"/>
    </xf>
    <xf numFmtId="164" fontId="12" fillId="0" borderId="1" xfId="1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/>
    </xf>
    <xf numFmtId="0" fontId="7" fillId="0" borderId="2" xfId="0" applyFont="1" applyFill="1" applyBorder="1" applyAlignment="1">
      <alignment horizontal="left" vertical="center" wrapText="1"/>
    </xf>
    <xf numFmtId="164" fontId="12" fillId="0" borderId="3" xfId="1" applyNumberFormat="1" applyFont="1" applyFill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 vertical="center"/>
    </xf>
    <xf numFmtId="164" fontId="7" fillId="0" borderId="3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2" fillId="0" borderId="2" xfId="0" applyFont="1" applyBorder="1"/>
    <xf numFmtId="0" fontId="13" fillId="0" borderId="2" xfId="0" applyNumberFormat="1" applyFont="1" applyFill="1" applyBorder="1" applyAlignment="1" applyProtection="1">
      <alignment horizontal="left" vertical="center" wrapText="1"/>
    </xf>
    <xf numFmtId="164" fontId="13" fillId="0" borderId="2" xfId="0" applyNumberFormat="1" applyFont="1" applyFill="1" applyBorder="1"/>
    <xf numFmtId="164" fontId="14" fillId="0" borderId="2" xfId="1" applyNumberFormat="1" applyFont="1" applyFill="1" applyBorder="1" applyAlignment="1">
      <alignment horizontal="right" vertical="center" wrapText="1"/>
    </xf>
    <xf numFmtId="164" fontId="13" fillId="0" borderId="2" xfId="0" applyNumberFormat="1" applyFont="1" applyBorder="1"/>
    <xf numFmtId="0" fontId="4" fillId="0" borderId="0" xfId="0" applyFont="1"/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Fill="1"/>
    <xf numFmtId="0" fontId="4" fillId="0" borderId="0" xfId="0" applyFont="1" applyFill="1"/>
    <xf numFmtId="0" fontId="5" fillId="0" borderId="0" xfId="1"/>
    <xf numFmtId="0" fontId="5" fillId="0" borderId="0" xfId="1" applyAlignment="1">
      <alignment wrapText="1"/>
    </xf>
    <xf numFmtId="0" fontId="34" fillId="0" borderId="0" xfId="1" applyFont="1" applyAlignment="1">
      <alignment horizontal="center" wrapText="1"/>
    </xf>
    <xf numFmtId="0" fontId="4" fillId="0" borderId="0" xfId="1" applyFont="1" applyAlignment="1"/>
    <xf numFmtId="0" fontId="8" fillId="0" borderId="0" xfId="1" applyFont="1" applyAlignment="1">
      <alignment horizontal="right" wrapText="1"/>
    </xf>
    <xf numFmtId="17" fontId="14" fillId="2" borderId="2" xfId="1" applyNumberFormat="1" applyFont="1" applyFill="1" applyBorder="1" applyAlignment="1">
      <alignment horizontal="center" vertical="center" wrapText="1"/>
    </xf>
    <xf numFmtId="0" fontId="35" fillId="0" borderId="2" xfId="1" applyFont="1" applyFill="1" applyBorder="1" applyAlignment="1">
      <alignment horizontal="center"/>
    </xf>
    <xf numFmtId="49" fontId="7" fillId="0" borderId="2" xfId="49" applyNumberFormat="1" applyFont="1" applyFill="1" applyBorder="1" applyAlignment="1">
      <alignment horizontal="left" vertical="top" wrapText="1"/>
    </xf>
    <xf numFmtId="164" fontId="7" fillId="0" borderId="2" xfId="49" applyNumberFormat="1" applyFont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/>
    </xf>
    <xf numFmtId="4" fontId="35" fillId="0" borderId="13" xfId="1" applyNumberFormat="1" applyFont="1" applyFill="1" applyBorder="1" applyAlignment="1">
      <alignment horizontal="center" vertical="center"/>
    </xf>
    <xf numFmtId="4" fontId="35" fillId="0" borderId="2" xfId="1" applyNumberFormat="1" applyFont="1" applyFill="1" applyBorder="1" applyAlignment="1">
      <alignment horizontal="center" vertical="center"/>
    </xf>
    <xf numFmtId="4" fontId="35" fillId="0" borderId="14" xfId="1" applyNumberFormat="1" applyFont="1" applyFill="1" applyBorder="1" applyAlignment="1">
      <alignment horizontal="center" vertical="center"/>
    </xf>
    <xf numFmtId="0" fontId="5" fillId="0" borderId="0" xfId="1" applyFill="1" applyAlignment="1">
      <alignment wrapText="1"/>
    </xf>
    <xf numFmtId="0" fontId="5" fillId="0" borderId="0" xfId="1" applyFill="1"/>
    <xf numFmtId="49" fontId="7" fillId="0" borderId="2" xfId="49" applyNumberFormat="1" applyFont="1" applyBorder="1" applyAlignment="1">
      <alignment horizontal="left" vertical="top" wrapText="1"/>
    </xf>
    <xf numFmtId="164" fontId="5" fillId="0" borderId="0" xfId="1" applyNumberFormat="1" applyFill="1"/>
    <xf numFmtId="4" fontId="35" fillId="0" borderId="15" xfId="1" applyNumberFormat="1" applyFont="1" applyFill="1" applyBorder="1" applyAlignment="1">
      <alignment horizontal="center" vertical="center"/>
    </xf>
    <xf numFmtId="4" fontId="35" fillId="0" borderId="16" xfId="1" applyNumberFormat="1" applyFont="1" applyFill="1" applyBorder="1" applyAlignment="1">
      <alignment horizontal="center" vertical="center"/>
    </xf>
    <xf numFmtId="4" fontId="35" fillId="0" borderId="0" xfId="1" applyNumberFormat="1" applyFont="1" applyFill="1" applyBorder="1" applyAlignment="1">
      <alignment horizontal="center" vertical="center"/>
    </xf>
    <xf numFmtId="49" fontId="3" fillId="0" borderId="2" xfId="49" applyNumberFormat="1" applyFont="1" applyFill="1" applyBorder="1" applyAlignment="1">
      <alignment horizontal="left" vertical="top" wrapText="1"/>
    </xf>
    <xf numFmtId="4" fontId="35" fillId="0" borderId="3" xfId="1" applyNumberFormat="1" applyFont="1" applyFill="1" applyBorder="1" applyAlignment="1">
      <alignment horizontal="center" vertical="center"/>
    </xf>
    <xf numFmtId="164" fontId="7" fillId="0" borderId="2" xfId="49" applyNumberFormat="1" applyFont="1" applyFill="1" applyBorder="1" applyAlignment="1">
      <alignment horizontal="center" vertical="center" wrapText="1"/>
    </xf>
    <xf numFmtId="0" fontId="5" fillId="0" borderId="2" xfId="1" applyFill="1" applyBorder="1"/>
    <xf numFmtId="0" fontId="35" fillId="0" borderId="2" xfId="1" applyFont="1" applyFill="1" applyBorder="1" applyAlignment="1">
      <alignment wrapText="1"/>
    </xf>
    <xf numFmtId="4" fontId="36" fillId="0" borderId="2" xfId="1" applyNumberFormat="1" applyFont="1" applyFill="1" applyBorder="1" applyAlignment="1">
      <alignment horizontal="center" vertical="center"/>
    </xf>
    <xf numFmtId="4" fontId="13" fillId="0" borderId="2" xfId="1" applyNumberFormat="1" applyFont="1" applyFill="1" applyBorder="1" applyAlignment="1">
      <alignment horizontal="center" vertical="center"/>
    </xf>
    <xf numFmtId="164" fontId="13" fillId="0" borderId="2" xfId="1" applyNumberFormat="1" applyFont="1" applyFill="1" applyBorder="1" applyAlignment="1">
      <alignment horizontal="center" vertical="center"/>
    </xf>
    <xf numFmtId="4" fontId="37" fillId="0" borderId="2" xfId="1" applyNumberFormat="1" applyFont="1" applyFill="1" applyBorder="1" applyAlignment="1">
      <alignment horizontal="center"/>
    </xf>
    <xf numFmtId="164" fontId="5" fillId="0" borderId="0" xfId="1" applyNumberFormat="1" applyFill="1" applyAlignment="1">
      <alignment wrapText="1"/>
    </xf>
    <xf numFmtId="0" fontId="38" fillId="0" borderId="0" xfId="1" applyFont="1" applyFill="1" applyAlignment="1">
      <alignment wrapText="1"/>
    </xf>
    <xf numFmtId="0" fontId="34" fillId="0" borderId="0" xfId="1" applyFont="1"/>
    <xf numFmtId="0" fontId="34" fillId="0" borderId="0" xfId="1" applyFont="1" applyAlignment="1">
      <alignment horizontal="left" vertical="center" wrapText="1"/>
    </xf>
    <xf numFmtId="164" fontId="34" fillId="0" borderId="0" xfId="1" applyNumberFormat="1" applyFont="1" applyFill="1"/>
    <xf numFmtId="0" fontId="34" fillId="0" borderId="0" xfId="1" applyFont="1" applyFill="1"/>
    <xf numFmtId="0" fontId="35" fillId="0" borderId="0" xfId="1" applyFont="1" applyFill="1" applyBorder="1" applyAlignment="1">
      <alignment horizontal="center"/>
    </xf>
    <xf numFmtId="49" fontId="35" fillId="0" borderId="0" xfId="1" applyNumberFormat="1" applyFont="1" applyFill="1" applyBorder="1" applyAlignment="1">
      <alignment horizontal="left" vertical="top" wrapText="1"/>
    </xf>
    <xf numFmtId="164" fontId="7" fillId="0" borderId="0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right" vertical="center" wrapText="1"/>
    </xf>
  </cellXfs>
  <cellStyles count="52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al" xfId="38"/>
    <cellStyle name="Note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1"/>
    <cellStyle name="Обычный 2 2" xfId="44"/>
    <cellStyle name="Обычный 3" xfId="45"/>
    <cellStyle name="Обычный 3 2" xfId="46"/>
    <cellStyle name="Обычный 4" xfId="47"/>
    <cellStyle name="Обычный 5" xfId="48"/>
    <cellStyle name="Обычный 6" xfId="49"/>
    <cellStyle name="Обычный 7" xfId="50"/>
    <cellStyle name="Процентный 2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workbookViewId="0">
      <pane ySplit="7" topLeftCell="A47" activePane="bottomLeft" state="frozenSplit"/>
      <selection pane="bottomLeft" activeCell="B53" sqref="B53"/>
    </sheetView>
  </sheetViews>
  <sheetFormatPr defaultRowHeight="18"/>
  <cols>
    <col min="1" max="1" width="7" style="1" customWidth="1"/>
    <col min="2" max="2" width="78.33203125" style="9" customWidth="1"/>
    <col min="3" max="4" width="15.44140625" style="3" customWidth="1"/>
    <col min="5" max="6" width="19.44140625" style="3" customWidth="1"/>
    <col min="7" max="7" width="21.33203125" style="4" customWidth="1"/>
    <col min="8" max="8" width="16.6640625" style="1" customWidth="1"/>
  </cols>
  <sheetData>
    <row r="1" spans="1:8">
      <c r="B1" s="2"/>
      <c r="H1" s="5" t="s">
        <v>0</v>
      </c>
    </row>
    <row r="2" spans="1:8">
      <c r="B2" s="2"/>
      <c r="H2" s="6"/>
    </row>
    <row r="3" spans="1:8" s="8" customFormat="1" ht="19.2" customHeight="1">
      <c r="A3" s="7" t="s">
        <v>1</v>
      </c>
      <c r="B3" s="7"/>
      <c r="C3" s="7"/>
      <c r="D3" s="7"/>
      <c r="E3" s="7"/>
      <c r="F3" s="7"/>
      <c r="G3" s="7"/>
      <c r="H3" s="7"/>
    </row>
    <row r="4" spans="1:8" ht="9.6" customHeight="1"/>
    <row r="5" spans="1:8">
      <c r="G5" s="10" t="s">
        <v>2</v>
      </c>
    </row>
    <row r="6" spans="1:8" s="14" customFormat="1" ht="84.6" customHeight="1">
      <c r="A6" s="11" t="s">
        <v>3</v>
      </c>
      <c r="B6" s="11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G6" s="13" t="s">
        <v>9</v>
      </c>
      <c r="H6" s="13" t="s">
        <v>10</v>
      </c>
    </row>
    <row r="7" spans="1:8" s="14" customFormat="1" ht="16.8" customHeight="1">
      <c r="A7" s="15">
        <v>1</v>
      </c>
      <c r="B7" s="15">
        <v>2</v>
      </c>
      <c r="C7" s="16" t="s">
        <v>11</v>
      </c>
      <c r="D7" s="16" t="s">
        <v>12</v>
      </c>
      <c r="E7" s="16" t="s">
        <v>13</v>
      </c>
      <c r="F7" s="16" t="s">
        <v>14</v>
      </c>
      <c r="G7" s="17" t="s">
        <v>15</v>
      </c>
      <c r="H7" s="17" t="s">
        <v>16</v>
      </c>
    </row>
    <row r="8" spans="1:8">
      <c r="A8" s="18">
        <v>801</v>
      </c>
      <c r="B8" s="19" t="s">
        <v>17</v>
      </c>
      <c r="C8" s="20">
        <v>246849</v>
      </c>
      <c r="D8" s="20">
        <v>164906.6</v>
      </c>
      <c r="E8" s="20">
        <f>D8+90156</f>
        <v>255062.6</v>
      </c>
      <c r="F8" s="20">
        <f>E8-D8</f>
        <v>90156</v>
      </c>
      <c r="G8" s="21">
        <f>E8-C8</f>
        <v>8213.6000000000058</v>
      </c>
      <c r="H8" s="22">
        <f>G8/C8*100</f>
        <v>3.327378275788035</v>
      </c>
    </row>
    <row r="9" spans="1:8">
      <c r="A9" s="18" t="s">
        <v>18</v>
      </c>
      <c r="B9" s="19" t="s">
        <v>19</v>
      </c>
      <c r="C9" s="20">
        <v>894080.6</v>
      </c>
      <c r="D9" s="20">
        <v>156699.79999999999</v>
      </c>
      <c r="E9" s="20">
        <f>D9+124656.1+3440</f>
        <v>284795.90000000002</v>
      </c>
      <c r="F9" s="20">
        <f t="shared" ref="F9:F47" si="0">E9-D9</f>
        <v>128096.10000000003</v>
      </c>
      <c r="G9" s="21">
        <f t="shared" ref="G9:G46" si="1">E9-C9</f>
        <v>-609284.69999999995</v>
      </c>
      <c r="H9" s="22">
        <f t="shared" ref="H9:H18" si="2">G9/C9*100</f>
        <v>-68.146507149355443</v>
      </c>
    </row>
    <row r="10" spans="1:8">
      <c r="A10" s="18">
        <v>850</v>
      </c>
      <c r="B10" s="19" t="s">
        <v>20</v>
      </c>
      <c r="C10" s="20">
        <v>60818.3</v>
      </c>
      <c r="D10" s="20">
        <v>312096.40000000002</v>
      </c>
      <c r="E10" s="20">
        <f>D10+34865+125791.7</f>
        <v>472753.10000000003</v>
      </c>
      <c r="F10" s="20">
        <f t="shared" si="0"/>
        <v>160656.70000000001</v>
      </c>
      <c r="G10" s="21">
        <f t="shared" si="1"/>
        <v>411934.80000000005</v>
      </c>
      <c r="H10" s="23" t="s">
        <v>21</v>
      </c>
    </row>
    <row r="11" spans="1:8">
      <c r="A11" s="18" t="s">
        <v>22</v>
      </c>
      <c r="B11" s="19" t="s">
        <v>23</v>
      </c>
      <c r="C11" s="20">
        <v>464729</v>
      </c>
      <c r="D11" s="20">
        <v>346175.8</v>
      </c>
      <c r="E11" s="20">
        <f>D11+120700.7+7833.3</f>
        <v>474709.8</v>
      </c>
      <c r="F11" s="20">
        <f t="shared" si="0"/>
        <v>128534</v>
      </c>
      <c r="G11" s="21">
        <f t="shared" si="1"/>
        <v>9980.7999999999884</v>
      </c>
      <c r="H11" s="22">
        <f t="shared" si="2"/>
        <v>2.1476602493065826</v>
      </c>
    </row>
    <row r="12" spans="1:8" ht="36">
      <c r="A12" s="24">
        <v>805</v>
      </c>
      <c r="B12" s="19" t="s">
        <v>24</v>
      </c>
      <c r="C12" s="20">
        <v>411767.5</v>
      </c>
      <c r="D12" s="20">
        <v>303480.8</v>
      </c>
      <c r="E12" s="20">
        <f>D12+19324.7+193713.1</f>
        <v>516518.6</v>
      </c>
      <c r="F12" s="20">
        <f t="shared" si="0"/>
        <v>213037.8</v>
      </c>
      <c r="G12" s="21">
        <f t="shared" si="1"/>
        <v>104751.09999999998</v>
      </c>
      <c r="H12" s="22">
        <f t="shared" si="2"/>
        <v>25.439380232776987</v>
      </c>
    </row>
    <row r="13" spans="1:8">
      <c r="A13" s="18">
        <v>807</v>
      </c>
      <c r="B13" s="19" t="s">
        <v>25</v>
      </c>
      <c r="C13" s="20">
        <v>4486747.0999999996</v>
      </c>
      <c r="D13" s="20">
        <v>2799303.5</v>
      </c>
      <c r="E13" s="20">
        <f>D13+29256.8+18385</f>
        <v>2846945.3</v>
      </c>
      <c r="F13" s="20">
        <f t="shared" si="0"/>
        <v>47641.799999999814</v>
      </c>
      <c r="G13" s="21">
        <f t="shared" si="1"/>
        <v>-1639801.7999999998</v>
      </c>
      <c r="H13" s="22">
        <f t="shared" si="2"/>
        <v>-36.547676154958673</v>
      </c>
    </row>
    <row r="14" spans="1:8" ht="36">
      <c r="A14" s="18" t="s">
        <v>26</v>
      </c>
      <c r="B14" s="19" t="s">
        <v>27</v>
      </c>
      <c r="C14" s="20">
        <v>233296.8</v>
      </c>
      <c r="D14" s="20">
        <v>120097.3</v>
      </c>
      <c r="E14" s="20">
        <f>D14+3833.7+9939.2</f>
        <v>133870.20000000001</v>
      </c>
      <c r="F14" s="20">
        <f t="shared" si="0"/>
        <v>13772.900000000009</v>
      </c>
      <c r="G14" s="21">
        <f t="shared" si="1"/>
        <v>-99426.599999999977</v>
      </c>
      <c r="H14" s="22">
        <f t="shared" si="2"/>
        <v>-42.618072772536948</v>
      </c>
    </row>
    <row r="15" spans="1:8">
      <c r="A15" s="18">
        <v>810</v>
      </c>
      <c r="B15" s="19" t="s">
        <v>28</v>
      </c>
      <c r="C15" s="20">
        <v>408940.7</v>
      </c>
      <c r="D15" s="20">
        <v>681219</v>
      </c>
      <c r="E15" s="20">
        <f>D15+24378.3</f>
        <v>705597.3</v>
      </c>
      <c r="F15" s="20">
        <f t="shared" si="0"/>
        <v>24378.300000000047</v>
      </c>
      <c r="G15" s="21">
        <f t="shared" si="1"/>
        <v>296656.60000000003</v>
      </c>
      <c r="H15" s="22">
        <f t="shared" si="2"/>
        <v>72.542693842897037</v>
      </c>
    </row>
    <row r="16" spans="1:8">
      <c r="A16" s="18">
        <v>811</v>
      </c>
      <c r="B16" s="19" t="s">
        <v>29</v>
      </c>
      <c r="C16" s="20">
        <v>15820150.6</v>
      </c>
      <c r="D16" s="20">
        <v>15754956</v>
      </c>
      <c r="E16" s="20">
        <f>D16+744000+136000+22684.7</f>
        <v>16657640.699999999</v>
      </c>
      <c r="F16" s="20">
        <f t="shared" si="0"/>
        <v>902684.69999999925</v>
      </c>
      <c r="G16" s="21">
        <f t="shared" si="1"/>
        <v>837490.09999999963</v>
      </c>
      <c r="H16" s="22">
        <f t="shared" si="2"/>
        <v>5.2938187579579656</v>
      </c>
    </row>
    <row r="17" spans="1:8">
      <c r="A17" s="18" t="s">
        <v>30</v>
      </c>
      <c r="B17" s="19" t="s">
        <v>31</v>
      </c>
      <c r="C17" s="20">
        <v>1099376.1000000001</v>
      </c>
      <c r="D17" s="20">
        <v>1630802.1</v>
      </c>
      <c r="E17" s="20">
        <f>D17+1293.1+17535.3+13919.4</f>
        <v>1663549.9000000001</v>
      </c>
      <c r="F17" s="20">
        <f t="shared" si="0"/>
        <v>32747.800000000047</v>
      </c>
      <c r="G17" s="21">
        <f t="shared" si="1"/>
        <v>564173.80000000005</v>
      </c>
      <c r="H17" s="22">
        <f t="shared" si="2"/>
        <v>51.317633701514886</v>
      </c>
    </row>
    <row r="18" spans="1:8">
      <c r="A18" s="18" t="s">
        <v>32</v>
      </c>
      <c r="B18" s="19" t="s">
        <v>33</v>
      </c>
      <c r="C18" s="20">
        <v>15857551.300000001</v>
      </c>
      <c r="D18" s="20">
        <v>19102646.199999999</v>
      </c>
      <c r="E18" s="20">
        <f>D18+126293.8+17534+773464.9</f>
        <v>20019938.899999999</v>
      </c>
      <c r="F18" s="20">
        <f t="shared" si="0"/>
        <v>917292.69999999925</v>
      </c>
      <c r="G18" s="21">
        <f t="shared" si="1"/>
        <v>4162387.5999999978</v>
      </c>
      <c r="H18" s="22">
        <f t="shared" si="2"/>
        <v>26.248615068330238</v>
      </c>
    </row>
    <row r="19" spans="1:8" ht="36">
      <c r="A19" s="18" t="s">
        <v>34</v>
      </c>
      <c r="B19" s="19" t="s">
        <v>35</v>
      </c>
      <c r="C19" s="20">
        <v>1924709.6</v>
      </c>
      <c r="D19" s="20">
        <v>1271029.3</v>
      </c>
      <c r="E19" s="20">
        <f>D19+71597.8+2129.4+19102.2+46638</f>
        <v>1410496.7</v>
      </c>
      <c r="F19" s="20">
        <f t="shared" si="0"/>
        <v>139467.39999999991</v>
      </c>
      <c r="G19" s="25">
        <f>E19-(C19+C20)</f>
        <v>-815302.10000000033</v>
      </c>
      <c r="H19" s="26">
        <f>-G19/(C19+C20)*100</f>
        <v>36.629640558706392</v>
      </c>
    </row>
    <row r="20" spans="1:8">
      <c r="A20" s="18">
        <v>847</v>
      </c>
      <c r="B20" s="27" t="s">
        <v>36</v>
      </c>
      <c r="C20" s="20">
        <v>301089.2</v>
      </c>
      <c r="D20" s="20"/>
      <c r="E20" s="20">
        <f t="shared" ref="E20:E44" si="3">D20</f>
        <v>0</v>
      </c>
      <c r="F20" s="20">
        <f t="shared" si="0"/>
        <v>0</v>
      </c>
      <c r="G20" s="28"/>
      <c r="H20" s="29"/>
    </row>
    <row r="21" spans="1:8">
      <c r="A21" s="18" t="s">
        <v>37</v>
      </c>
      <c r="B21" s="19" t="s">
        <v>38</v>
      </c>
      <c r="C21" s="20">
        <v>3486174.8</v>
      </c>
      <c r="D21" s="20">
        <v>3133540.9</v>
      </c>
      <c r="E21" s="20">
        <f>D21+43982.6</f>
        <v>3177523.5</v>
      </c>
      <c r="F21" s="20">
        <f t="shared" si="0"/>
        <v>43982.600000000093</v>
      </c>
      <c r="G21" s="25">
        <f>E21-(C21+C22)</f>
        <v>-349767.69999999972</v>
      </c>
      <c r="H21" s="30">
        <f>G21/(C22+C21)*100</f>
        <v>-9.916042656188969</v>
      </c>
    </row>
    <row r="22" spans="1:8" ht="36">
      <c r="A22" s="18" t="s">
        <v>39</v>
      </c>
      <c r="B22" s="19" t="s">
        <v>40</v>
      </c>
      <c r="C22" s="20">
        <v>41116.400000000001</v>
      </c>
      <c r="D22" s="20"/>
      <c r="E22" s="20">
        <f t="shared" si="3"/>
        <v>0</v>
      </c>
      <c r="F22" s="20">
        <v>0</v>
      </c>
      <c r="G22" s="28"/>
      <c r="H22" s="31"/>
    </row>
    <row r="23" spans="1:8" ht="36">
      <c r="A23" s="18">
        <v>817</v>
      </c>
      <c r="B23" s="19" t="s">
        <v>41</v>
      </c>
      <c r="C23" s="20">
        <v>2057111.8</v>
      </c>
      <c r="D23" s="20">
        <v>1086477.5</v>
      </c>
      <c r="E23" s="20">
        <f>D23+40974.9+29674.2</f>
        <v>1157126.5999999999</v>
      </c>
      <c r="F23" s="20">
        <f t="shared" si="0"/>
        <v>70649.09999999986</v>
      </c>
      <c r="G23" s="25">
        <f>E23-C23-C24</f>
        <v>-916316.30000000016</v>
      </c>
      <c r="H23" s="30">
        <f>G23/(C24+C23)*100</f>
        <v>-44.192984528293501</v>
      </c>
    </row>
    <row r="24" spans="1:8" ht="36">
      <c r="A24" s="18">
        <v>846</v>
      </c>
      <c r="B24" s="27" t="s">
        <v>42</v>
      </c>
      <c r="C24" s="20">
        <v>16331.1</v>
      </c>
      <c r="D24" s="20"/>
      <c r="E24" s="20">
        <f t="shared" si="3"/>
        <v>0</v>
      </c>
      <c r="F24" s="20">
        <f t="shared" si="0"/>
        <v>0</v>
      </c>
      <c r="G24" s="28"/>
      <c r="H24" s="31"/>
    </row>
    <row r="25" spans="1:8" ht="36">
      <c r="A25" s="18" t="s">
        <v>43</v>
      </c>
      <c r="B25" s="19" t="s">
        <v>44</v>
      </c>
      <c r="C25" s="20">
        <v>245613.5</v>
      </c>
      <c r="D25" s="20">
        <v>174312.6</v>
      </c>
      <c r="E25" s="20">
        <f>D25+43338.4+42429.4</f>
        <v>260080.4</v>
      </c>
      <c r="F25" s="20">
        <f t="shared" si="0"/>
        <v>85767.799999999988</v>
      </c>
      <c r="G25" s="21">
        <f t="shared" si="1"/>
        <v>14466.899999999994</v>
      </c>
      <c r="H25" s="22">
        <f>G25/C25*100</f>
        <v>5.8901078320206315</v>
      </c>
    </row>
    <row r="26" spans="1:8">
      <c r="A26" s="18" t="s">
        <v>45</v>
      </c>
      <c r="B26" s="19" t="s">
        <v>46</v>
      </c>
      <c r="C26" s="20">
        <v>662709.9</v>
      </c>
      <c r="D26" s="20">
        <v>732353.7</v>
      </c>
      <c r="E26" s="20">
        <f>D26+25147.3+5627.6+10965</f>
        <v>774093.6</v>
      </c>
      <c r="F26" s="20">
        <f t="shared" si="0"/>
        <v>41739.900000000023</v>
      </c>
      <c r="G26" s="21">
        <f t="shared" si="1"/>
        <v>111383.69999999995</v>
      </c>
      <c r="H26" s="22">
        <f t="shared" ref="H26:H42" si="4">G26/C26*100</f>
        <v>16.807308899414352</v>
      </c>
    </row>
    <row r="27" spans="1:8" ht="36">
      <c r="A27" s="18" t="s">
        <v>47</v>
      </c>
      <c r="B27" s="19" t="s">
        <v>48</v>
      </c>
      <c r="C27" s="20">
        <v>591987</v>
      </c>
      <c r="D27" s="20">
        <v>513040.2</v>
      </c>
      <c r="E27" s="20">
        <f>D27+1000+355528.1-7800+32637.5</f>
        <v>894405.8</v>
      </c>
      <c r="F27" s="20">
        <f t="shared" si="0"/>
        <v>381365.60000000003</v>
      </c>
      <c r="G27" s="21">
        <f t="shared" si="1"/>
        <v>302418.80000000005</v>
      </c>
      <c r="H27" s="22">
        <f t="shared" si="4"/>
        <v>51.085378564056313</v>
      </c>
    </row>
    <row r="28" spans="1:8">
      <c r="A28" s="18" t="s">
        <v>49</v>
      </c>
      <c r="B28" s="19" t="s">
        <v>50</v>
      </c>
      <c r="C28" s="20">
        <v>34971.5</v>
      </c>
      <c r="D28" s="20">
        <v>16379.3</v>
      </c>
      <c r="E28" s="20">
        <f>D28+9224.7</f>
        <v>25604</v>
      </c>
      <c r="F28" s="20">
        <f t="shared" si="0"/>
        <v>9224.7000000000007</v>
      </c>
      <c r="G28" s="21">
        <f t="shared" si="1"/>
        <v>-9367.5</v>
      </c>
      <c r="H28" s="22">
        <f t="shared" si="4"/>
        <v>-26.786097250618361</v>
      </c>
    </row>
    <row r="29" spans="1:8">
      <c r="A29" s="18" t="s">
        <v>51</v>
      </c>
      <c r="B29" s="19" t="s">
        <v>52</v>
      </c>
      <c r="C29" s="20">
        <v>456361</v>
      </c>
      <c r="D29" s="20">
        <v>301915.8</v>
      </c>
      <c r="E29" s="20">
        <f>D29+235921.5+15581.7</f>
        <v>553419</v>
      </c>
      <c r="F29" s="20">
        <f t="shared" si="0"/>
        <v>251503.2</v>
      </c>
      <c r="G29" s="21">
        <f t="shared" si="1"/>
        <v>97058</v>
      </c>
      <c r="H29" s="22">
        <f t="shared" si="4"/>
        <v>21.267812104890645</v>
      </c>
    </row>
    <row r="30" spans="1:8">
      <c r="A30" s="18" t="s">
        <v>53</v>
      </c>
      <c r="B30" s="19" t="s">
        <v>54</v>
      </c>
      <c r="C30" s="20">
        <v>14203704</v>
      </c>
      <c r="D30" s="20">
        <v>12339387.9</v>
      </c>
      <c r="E30" s="20">
        <f>D30+131139+47972.5+756936</f>
        <v>13275435.4</v>
      </c>
      <c r="F30" s="20">
        <f t="shared" si="0"/>
        <v>936047.5</v>
      </c>
      <c r="G30" s="21">
        <f t="shared" si="1"/>
        <v>-928268.59999999963</v>
      </c>
      <c r="H30" s="22">
        <f t="shared" si="4"/>
        <v>-6.5353980905262423</v>
      </c>
    </row>
    <row r="31" spans="1:8">
      <c r="A31" s="18" t="s">
        <v>55</v>
      </c>
      <c r="B31" s="19" t="s">
        <v>56</v>
      </c>
      <c r="C31" s="20">
        <v>7290653.2999999998</v>
      </c>
      <c r="D31" s="20">
        <v>8186798.7000000002</v>
      </c>
      <c r="E31" s="20">
        <f>D31+19031+71903.1-128000</f>
        <v>8149732.7999999998</v>
      </c>
      <c r="F31" s="20">
        <f t="shared" si="0"/>
        <v>-37065.900000000373</v>
      </c>
      <c r="G31" s="21">
        <f t="shared" si="1"/>
        <v>859079.5</v>
      </c>
      <c r="H31" s="22">
        <f t="shared" si="4"/>
        <v>11.783299310090634</v>
      </c>
    </row>
    <row r="32" spans="1:8">
      <c r="A32" s="18">
        <v>830</v>
      </c>
      <c r="B32" s="19" t="s">
        <v>57</v>
      </c>
      <c r="C32" s="20">
        <v>10909484.800000001</v>
      </c>
      <c r="D32" s="20">
        <v>5976546.2000000002</v>
      </c>
      <c r="E32" s="20">
        <f>D32-5627.6+24496.3</f>
        <v>5995414.9000000004</v>
      </c>
      <c r="F32" s="20">
        <f t="shared" si="0"/>
        <v>18868.700000000186</v>
      </c>
      <c r="G32" s="21">
        <f t="shared" si="1"/>
        <v>-4914069.9000000004</v>
      </c>
      <c r="H32" s="22">
        <f t="shared" si="4"/>
        <v>-45.044014360788147</v>
      </c>
    </row>
    <row r="33" spans="1:8">
      <c r="A33" s="18" t="s">
        <v>58</v>
      </c>
      <c r="B33" s="19" t="s">
        <v>59</v>
      </c>
      <c r="C33" s="20">
        <v>84381.5</v>
      </c>
      <c r="D33" s="20">
        <v>42329.7</v>
      </c>
      <c r="E33" s="20">
        <f>D33+37003.7</f>
        <v>79333.399999999994</v>
      </c>
      <c r="F33" s="20">
        <f t="shared" si="0"/>
        <v>37003.699999999997</v>
      </c>
      <c r="G33" s="21">
        <f t="shared" si="1"/>
        <v>-5048.1000000000058</v>
      </c>
      <c r="H33" s="22">
        <f t="shared" si="4"/>
        <v>-5.9824724613807598</v>
      </c>
    </row>
    <row r="34" spans="1:8">
      <c r="A34" s="18" t="s">
        <v>60</v>
      </c>
      <c r="B34" s="19" t="s">
        <v>61</v>
      </c>
      <c r="C34" s="20">
        <v>118234.6</v>
      </c>
      <c r="D34" s="20">
        <v>58275.3</v>
      </c>
      <c r="E34" s="20">
        <f>D34+31753.8+50887.2</f>
        <v>140916.29999999999</v>
      </c>
      <c r="F34" s="20">
        <f t="shared" si="0"/>
        <v>82640.999999999985</v>
      </c>
      <c r="G34" s="21">
        <f t="shared" si="1"/>
        <v>22681.699999999983</v>
      </c>
      <c r="H34" s="22">
        <f t="shared" si="4"/>
        <v>19.183639983558095</v>
      </c>
    </row>
    <row r="35" spans="1:8">
      <c r="A35" s="18" t="s">
        <v>62</v>
      </c>
      <c r="B35" s="19" t="s">
        <v>63</v>
      </c>
      <c r="C35" s="20">
        <v>32882.400000000001</v>
      </c>
      <c r="D35" s="20">
        <v>17039.8</v>
      </c>
      <c r="E35" s="20">
        <f>D35+3239+11367.8</f>
        <v>31646.6</v>
      </c>
      <c r="F35" s="20">
        <f t="shared" si="0"/>
        <v>14606.8</v>
      </c>
      <c r="G35" s="21">
        <f t="shared" si="1"/>
        <v>-1235.8000000000029</v>
      </c>
      <c r="H35" s="22">
        <f t="shared" si="4"/>
        <v>-3.7582414908887514</v>
      </c>
    </row>
    <row r="36" spans="1:8" ht="36">
      <c r="A36" s="18" t="s">
        <v>64</v>
      </c>
      <c r="B36" s="19" t="s">
        <v>65</v>
      </c>
      <c r="C36" s="20">
        <v>63803.4</v>
      </c>
      <c r="D36" s="20">
        <v>39978.800000000003</v>
      </c>
      <c r="E36" s="20">
        <f>D36+24533.3+8095.1</f>
        <v>72607.200000000012</v>
      </c>
      <c r="F36" s="20">
        <f t="shared" si="0"/>
        <v>32628.400000000009</v>
      </c>
      <c r="G36" s="21">
        <f t="shared" si="1"/>
        <v>8803.8000000000102</v>
      </c>
      <c r="H36" s="22">
        <f t="shared" si="4"/>
        <v>13.798324227235556</v>
      </c>
    </row>
    <row r="37" spans="1:8" ht="36">
      <c r="A37" s="18">
        <v>836</v>
      </c>
      <c r="B37" s="19" t="s">
        <v>66</v>
      </c>
      <c r="C37" s="20">
        <v>18310.400000000001</v>
      </c>
      <c r="D37" s="20">
        <v>25130.6</v>
      </c>
      <c r="E37" s="20">
        <f>D37+10859.3</f>
        <v>35989.899999999994</v>
      </c>
      <c r="F37" s="20">
        <f t="shared" si="0"/>
        <v>10859.299999999996</v>
      </c>
      <c r="G37" s="21">
        <f t="shared" si="1"/>
        <v>17679.499999999993</v>
      </c>
      <c r="H37" s="22">
        <f t="shared" si="4"/>
        <v>96.554417161831481</v>
      </c>
    </row>
    <row r="38" spans="1:8">
      <c r="A38" s="18" t="s">
        <v>67</v>
      </c>
      <c r="B38" s="19" t="s">
        <v>68</v>
      </c>
      <c r="C38" s="20">
        <v>1151660.7</v>
      </c>
      <c r="D38" s="20">
        <v>1270556.2</v>
      </c>
      <c r="E38" s="20">
        <f>D38+12688.8+5206.4+11513.3+7800+10745.8-8000</f>
        <v>1310510.5</v>
      </c>
      <c r="F38" s="20">
        <f t="shared" si="0"/>
        <v>39954.300000000047</v>
      </c>
      <c r="G38" s="21">
        <f t="shared" si="1"/>
        <v>158849.80000000005</v>
      </c>
      <c r="H38" s="22">
        <f t="shared" si="4"/>
        <v>13.793107640123523</v>
      </c>
    </row>
    <row r="39" spans="1:8" ht="36">
      <c r="A39" s="18" t="s">
        <v>69</v>
      </c>
      <c r="B39" s="19" t="s">
        <v>70</v>
      </c>
      <c r="C39" s="20">
        <v>35656.5</v>
      </c>
      <c r="D39" s="20">
        <v>21978.2</v>
      </c>
      <c r="E39" s="20">
        <f>D39+19757.6</f>
        <v>41735.800000000003</v>
      </c>
      <c r="F39" s="20">
        <f t="shared" si="0"/>
        <v>19757.600000000002</v>
      </c>
      <c r="G39" s="21">
        <f t="shared" si="1"/>
        <v>6079.3000000000029</v>
      </c>
      <c r="H39" s="22">
        <f t="shared" si="4"/>
        <v>17.049626295345877</v>
      </c>
    </row>
    <row r="40" spans="1:8">
      <c r="A40" s="18">
        <v>841</v>
      </c>
      <c r="B40" s="19" t="s">
        <v>71</v>
      </c>
      <c r="C40" s="20">
        <v>148046.29999999999</v>
      </c>
      <c r="D40" s="20">
        <v>127587.3</v>
      </c>
      <c r="E40" s="20">
        <f>D40+18080</f>
        <v>145667.29999999999</v>
      </c>
      <c r="F40" s="20">
        <f t="shared" si="0"/>
        <v>18079.999999999985</v>
      </c>
      <c r="G40" s="21">
        <f t="shared" si="1"/>
        <v>-2379</v>
      </c>
      <c r="H40" s="22">
        <f t="shared" si="4"/>
        <v>-1.6069297240120153</v>
      </c>
    </row>
    <row r="41" spans="1:8" ht="36">
      <c r="A41" s="18">
        <v>843</v>
      </c>
      <c r="B41" s="32" t="s">
        <v>72</v>
      </c>
      <c r="C41" s="20">
        <v>478040.8</v>
      </c>
      <c r="D41" s="20">
        <v>214208.9</v>
      </c>
      <c r="E41" s="20">
        <f>D41+8191.7</f>
        <v>222400.6</v>
      </c>
      <c r="F41" s="20">
        <f t="shared" si="0"/>
        <v>8191.7000000000116</v>
      </c>
      <c r="G41" s="21">
        <f t="shared" si="1"/>
        <v>-255640.19999999998</v>
      </c>
      <c r="H41" s="22">
        <f t="shared" si="4"/>
        <v>-53.476648855076803</v>
      </c>
    </row>
    <row r="42" spans="1:8">
      <c r="A42" s="18">
        <v>844</v>
      </c>
      <c r="B42" s="32" t="s">
        <v>73</v>
      </c>
      <c r="C42" s="20">
        <v>978926</v>
      </c>
      <c r="D42" s="20">
        <v>841178.6</v>
      </c>
      <c r="E42" s="20">
        <f>D42+8658.4+20602.6</f>
        <v>870439.6</v>
      </c>
      <c r="F42" s="20">
        <f t="shared" si="0"/>
        <v>29261</v>
      </c>
      <c r="G42" s="21">
        <f t="shared" si="1"/>
        <v>-108486.40000000002</v>
      </c>
      <c r="H42" s="22">
        <f t="shared" si="4"/>
        <v>-11.082185987500589</v>
      </c>
    </row>
    <row r="43" spans="1:8" ht="36">
      <c r="A43" s="18">
        <v>845</v>
      </c>
      <c r="B43" s="32" t="s">
        <v>74</v>
      </c>
      <c r="C43" s="20">
        <v>65736.5</v>
      </c>
      <c r="D43" s="20">
        <v>232434.7</v>
      </c>
      <c r="E43" s="20">
        <f>D43+23936+23443.9</f>
        <v>279814.60000000003</v>
      </c>
      <c r="F43" s="20">
        <f t="shared" si="0"/>
        <v>47379.900000000023</v>
      </c>
      <c r="G43" s="25">
        <f>E43-C43-C44</f>
        <v>21945.100000000035</v>
      </c>
      <c r="H43" s="30">
        <f>G43/(C43+C44)*100</f>
        <v>8.5101572694715877</v>
      </c>
    </row>
    <row r="44" spans="1:8">
      <c r="A44" s="18" t="s">
        <v>75</v>
      </c>
      <c r="B44" s="19" t="s">
        <v>76</v>
      </c>
      <c r="C44" s="20">
        <v>192133</v>
      </c>
      <c r="D44" s="20"/>
      <c r="E44" s="20">
        <f t="shared" si="3"/>
        <v>0</v>
      </c>
      <c r="F44" s="20">
        <f t="shared" si="0"/>
        <v>0</v>
      </c>
      <c r="G44" s="28"/>
      <c r="H44" s="31"/>
    </row>
    <row r="45" spans="1:8" ht="36">
      <c r="A45" s="18">
        <v>848</v>
      </c>
      <c r="B45" s="32" t="s">
        <v>77</v>
      </c>
      <c r="C45" s="20">
        <v>75267.399999999994</v>
      </c>
      <c r="D45" s="20">
        <v>46596.7</v>
      </c>
      <c r="E45" s="20">
        <f>D45+16644.4+25195</f>
        <v>88436.1</v>
      </c>
      <c r="F45" s="20">
        <f t="shared" si="0"/>
        <v>41839.400000000009</v>
      </c>
      <c r="G45" s="21">
        <f t="shared" si="1"/>
        <v>13168.700000000012</v>
      </c>
      <c r="H45" s="22">
        <f>G45/C45*100</f>
        <v>17.49588799400539</v>
      </c>
    </row>
    <row r="46" spans="1:8">
      <c r="A46" s="18">
        <v>849</v>
      </c>
      <c r="B46" s="32" t="s">
        <v>78</v>
      </c>
      <c r="C46" s="20">
        <v>546361.69999999995</v>
      </c>
      <c r="D46" s="20">
        <v>470924.3</v>
      </c>
      <c r="E46" s="20">
        <f>D46+7356.3</f>
        <v>478280.6</v>
      </c>
      <c r="F46" s="20">
        <f t="shared" si="0"/>
        <v>7356.2999999999884</v>
      </c>
      <c r="G46" s="21">
        <f t="shared" si="1"/>
        <v>-68081.099999999977</v>
      </c>
      <c r="H46" s="22">
        <f t="shared" ref="H46:H47" si="5">G46/C46*100</f>
        <v>-12.46081121718451</v>
      </c>
    </row>
    <row r="47" spans="1:8" ht="17.399999999999999">
      <c r="A47" s="33"/>
      <c r="B47" s="34" t="s">
        <v>79</v>
      </c>
      <c r="C47" s="35">
        <f>SUM(C8:C46)</f>
        <v>86195766.100000009</v>
      </c>
      <c r="D47" s="35">
        <f>SUM(D8:D46)</f>
        <v>78512384.699999988</v>
      </c>
      <c r="E47" s="35">
        <f>SUM(E8:E46)</f>
        <v>83502493.49999997</v>
      </c>
      <c r="F47" s="35">
        <f t="shared" si="0"/>
        <v>4990108.7999999821</v>
      </c>
      <c r="G47" s="36">
        <f t="shared" ref="G47" si="6">SUM(G8:G46)</f>
        <v>-2693272.6000000029</v>
      </c>
      <c r="H47" s="37">
        <f t="shared" si="5"/>
        <v>-3.1245996431836374</v>
      </c>
    </row>
    <row r="50" spans="1:8">
      <c r="A50" s="38" t="s">
        <v>80</v>
      </c>
      <c r="B50" s="39"/>
      <c r="C50" s="40"/>
      <c r="D50" s="40"/>
      <c r="E50" s="40"/>
      <c r="F50" s="40"/>
      <c r="G50" s="41"/>
      <c r="H50" s="38"/>
    </row>
    <row r="51" spans="1:8">
      <c r="A51" s="38" t="s">
        <v>81</v>
      </c>
      <c r="B51" s="39"/>
      <c r="C51" s="40"/>
      <c r="D51" s="40"/>
      <c r="E51" s="40"/>
      <c r="F51" s="40"/>
      <c r="G51" s="41"/>
      <c r="H51" s="38"/>
    </row>
    <row r="52" spans="1:8">
      <c r="A52" s="38" t="s">
        <v>82</v>
      </c>
      <c r="B52" s="39"/>
      <c r="C52" s="40"/>
      <c r="D52" s="40"/>
      <c r="E52" s="40"/>
      <c r="F52" s="40"/>
      <c r="G52" s="41"/>
      <c r="H52" s="38"/>
    </row>
    <row r="53" spans="1:8">
      <c r="A53" s="38" t="s">
        <v>83</v>
      </c>
      <c r="B53" s="39"/>
      <c r="C53" s="40"/>
      <c r="D53" s="40"/>
      <c r="E53" s="40"/>
      <c r="F53" s="40"/>
      <c r="G53" s="41" t="s">
        <v>84</v>
      </c>
      <c r="H53" s="38"/>
    </row>
  </sheetData>
  <mergeCells count="9">
    <mergeCell ref="G43:G44"/>
    <mergeCell ref="H43:H44"/>
    <mergeCell ref="A3:H3"/>
    <mergeCell ref="G19:G20"/>
    <mergeCell ref="H19:H20"/>
    <mergeCell ref="G21:G22"/>
    <mergeCell ref="H21:H22"/>
    <mergeCell ref="G23:G24"/>
    <mergeCell ref="H23:H24"/>
  </mergeCells>
  <conditionalFormatting sqref="G8">
    <cfRule type="iconSet" priority="5">
      <iconSet iconSet="3Arrows">
        <cfvo type="percent" val="0"/>
        <cfvo type="num" val="0"/>
        <cfvo type="num" val="0" gte="0"/>
      </iconSet>
    </cfRule>
    <cfRule type="iconSet" priority="6">
      <iconSet>
        <cfvo type="percent" val="0"/>
        <cfvo type="num" val="0"/>
        <cfvo type="num" val="0" gte="0"/>
      </iconSet>
    </cfRule>
  </conditionalFormatting>
  <conditionalFormatting sqref="G9:G21 G23:G47">
    <cfRule type="iconSet" priority="3">
      <iconSet iconSet="3Arrows">
        <cfvo type="percent" val="0"/>
        <cfvo type="num" val="0"/>
        <cfvo type="num" val="0" gte="0"/>
      </iconSet>
    </cfRule>
    <cfRule type="iconSet" priority="4">
      <iconSet>
        <cfvo type="percent" val="0"/>
        <cfvo type="num" val="0"/>
        <cfvo type="num" val="0" gte="0"/>
      </iconSet>
    </cfRule>
  </conditionalFormatting>
  <conditionalFormatting sqref="F8:F19 F21 F23 F25:F43 F45:F46">
    <cfRule type="iconSet" priority="1">
      <iconSet iconSet="3Arrows">
        <cfvo type="percent" val="0"/>
        <cfvo type="num" val="0"/>
        <cfvo type="num" val="0" gte="0"/>
      </iconSet>
    </cfRule>
    <cfRule type="iconSet" priority="2">
      <iconSet>
        <cfvo type="percent" val="0"/>
        <cfvo type="num" val="0"/>
        <cfvo type="num" val="0" gte="0"/>
      </iconSet>
    </cfRule>
  </conditionalFormatting>
  <pageMargins left="0.70866141732283472" right="0.15748031496062992" top="0.27559055118110237" bottom="0.31496062992125984" header="0.15748031496062992" footer="0.19685039370078741"/>
  <pageSetup paperSize="9" scale="71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3:M48"/>
  <sheetViews>
    <sheetView tabSelected="1" topLeftCell="A3" zoomScale="80" zoomScaleNormal="80" workbookViewId="0">
      <pane xSplit="2" ySplit="4" topLeftCell="C7" activePane="bottomRight" state="frozenSplit"/>
      <selection activeCell="A3" sqref="A3"/>
      <selection pane="topRight" activeCell="A3" sqref="A3"/>
      <selection pane="bottomLeft" activeCell="A3" sqref="A3"/>
      <selection pane="bottomRight" activeCell="N11" sqref="N11"/>
    </sheetView>
  </sheetViews>
  <sheetFormatPr defaultRowHeight="13.2"/>
  <cols>
    <col min="1" max="1" width="6.5546875" style="42" customWidth="1"/>
    <col min="2" max="2" width="69" style="43" customWidth="1"/>
    <col min="3" max="3" width="20.5546875" style="43" customWidth="1"/>
    <col min="4" max="4" width="17.33203125" style="43" customWidth="1"/>
    <col min="5" max="5" width="20.33203125" style="43" customWidth="1"/>
    <col min="6" max="6" width="17.33203125" style="43" hidden="1" customWidth="1"/>
    <col min="7" max="7" width="14" style="43" hidden="1" customWidth="1"/>
    <col min="8" max="8" width="18.44140625" style="43" hidden="1" customWidth="1"/>
    <col min="9" max="9" width="14.33203125" style="43" hidden="1" customWidth="1"/>
    <col min="10" max="10" width="14.5546875" style="43" hidden="1" customWidth="1"/>
    <col min="11" max="11" width="9.109375" style="43" customWidth="1"/>
    <col min="12" max="16384" width="8.88671875" style="42"/>
  </cols>
  <sheetData>
    <row r="3" spans="1:13" ht="19.95" customHeight="1">
      <c r="E3" s="44" t="s">
        <v>85</v>
      </c>
      <c r="F3" s="44"/>
    </row>
    <row r="4" spans="1:13" ht="49.95" customHeight="1">
      <c r="A4" s="7" t="s">
        <v>86</v>
      </c>
      <c r="B4" s="7"/>
      <c r="C4" s="7"/>
      <c r="D4" s="7"/>
      <c r="E4" s="7"/>
      <c r="F4" s="7"/>
      <c r="G4" s="45"/>
    </row>
    <row r="5" spans="1:13" ht="16.2">
      <c r="E5" s="46" t="s">
        <v>87</v>
      </c>
      <c r="F5" s="44"/>
      <c r="G5" s="44"/>
      <c r="H5" s="44"/>
      <c r="I5" s="44"/>
      <c r="J5" s="44"/>
    </row>
    <row r="6" spans="1:13" s="14" customFormat="1" ht="67.2" customHeight="1">
      <c r="A6" s="47" t="s">
        <v>88</v>
      </c>
      <c r="B6" s="47" t="s">
        <v>89</v>
      </c>
      <c r="C6" s="47" t="s">
        <v>90</v>
      </c>
      <c r="D6" s="47" t="s">
        <v>91</v>
      </c>
      <c r="E6" s="47" t="s">
        <v>92</v>
      </c>
      <c r="F6" s="47" t="s">
        <v>93</v>
      </c>
    </row>
    <row r="7" spans="1:13" s="56" customFormat="1" ht="55.2" customHeight="1">
      <c r="A7" s="48">
        <v>1</v>
      </c>
      <c r="B7" s="49" t="s">
        <v>94</v>
      </c>
      <c r="C7" s="50">
        <v>36276.6</v>
      </c>
      <c r="D7" s="51">
        <f>C7+3833.7-700</f>
        <v>39410.299999999996</v>
      </c>
      <c r="E7" s="21">
        <f>D7-C7</f>
        <v>3133.6999999999971</v>
      </c>
      <c r="F7" s="51">
        <f>E7/C7*100</f>
        <v>8.6383508928620589</v>
      </c>
      <c r="G7" s="52">
        <v>9523.7000000000007</v>
      </c>
      <c r="H7" s="53"/>
      <c r="I7" s="54">
        <f>G7-H7</f>
        <v>9523.7000000000007</v>
      </c>
      <c r="J7" s="52">
        <v>9398.7000000000007</v>
      </c>
      <c r="K7" s="55"/>
    </row>
    <row r="8" spans="1:13" s="56" customFormat="1" ht="55.2" customHeight="1">
      <c r="A8" s="48">
        <v>2</v>
      </c>
      <c r="B8" s="49" t="s">
        <v>95</v>
      </c>
      <c r="C8" s="50">
        <v>1266299.8999999999</v>
      </c>
      <c r="D8" s="51">
        <f>C8+11513.3+117256.8+76456.3</f>
        <v>1471526.3</v>
      </c>
      <c r="E8" s="21">
        <f t="shared" ref="E8:E30" si="0">D8-C8</f>
        <v>205226.40000000014</v>
      </c>
      <c r="F8" s="51"/>
      <c r="G8" s="52"/>
      <c r="H8" s="53"/>
      <c r="I8" s="54"/>
      <c r="J8" s="52"/>
      <c r="K8" s="55"/>
    </row>
    <row r="9" spans="1:13" s="56" customFormat="1" ht="55.2" customHeight="1">
      <c r="A9" s="48">
        <v>3</v>
      </c>
      <c r="B9" s="49" t="s">
        <v>96</v>
      </c>
      <c r="C9" s="50">
        <v>64248.4</v>
      </c>
      <c r="D9" s="51">
        <f t="shared" ref="D9:D29" si="1">C9</f>
        <v>64248.4</v>
      </c>
      <c r="E9" s="21">
        <f t="shared" si="0"/>
        <v>0</v>
      </c>
      <c r="F9" s="51">
        <f>E9/C9*100</f>
        <v>0</v>
      </c>
      <c r="G9" s="52"/>
      <c r="H9" s="53"/>
      <c r="I9" s="54"/>
      <c r="J9" s="52"/>
      <c r="K9" s="55"/>
    </row>
    <row r="10" spans="1:13" s="56" customFormat="1" ht="72">
      <c r="A10" s="48">
        <v>4</v>
      </c>
      <c r="B10" s="57" t="s">
        <v>97</v>
      </c>
      <c r="C10" s="50">
        <v>578064.5</v>
      </c>
      <c r="D10" s="51">
        <f>C10+4725</f>
        <v>582789.5</v>
      </c>
      <c r="E10" s="21">
        <f t="shared" si="0"/>
        <v>4725</v>
      </c>
      <c r="F10" s="51">
        <f>E10/C10*100</f>
        <v>0.81738283530644074</v>
      </c>
      <c r="G10" s="52">
        <v>94446.5</v>
      </c>
      <c r="H10" s="52"/>
      <c r="I10" s="54">
        <f>G10-H10</f>
        <v>94446.5</v>
      </c>
      <c r="J10" s="52">
        <v>86650</v>
      </c>
      <c r="K10" s="55"/>
    </row>
    <row r="11" spans="1:13" s="56" customFormat="1" ht="54">
      <c r="A11" s="48">
        <v>5</v>
      </c>
      <c r="B11" s="57" t="s">
        <v>98</v>
      </c>
      <c r="C11" s="50">
        <v>15693239.5</v>
      </c>
      <c r="D11" s="51">
        <f>C11+744000+136000</f>
        <v>16573239.5</v>
      </c>
      <c r="E11" s="21">
        <f>D11-C11</f>
        <v>880000</v>
      </c>
      <c r="F11" s="51">
        <f>E11/C11*100</f>
        <v>5.6075101638511278</v>
      </c>
      <c r="G11" s="52"/>
      <c r="H11" s="52"/>
      <c r="I11" s="54"/>
      <c r="J11" s="52"/>
      <c r="K11" s="55"/>
      <c r="M11" s="58"/>
    </row>
    <row r="12" spans="1:13" s="56" customFormat="1" ht="36">
      <c r="A12" s="48">
        <v>6</v>
      </c>
      <c r="B12" s="49" t="s">
        <v>99</v>
      </c>
      <c r="C12" s="50">
        <v>19177365.100000001</v>
      </c>
      <c r="D12" s="51">
        <f>C12+46072.6+80221.2+5000</f>
        <v>19308658.900000002</v>
      </c>
      <c r="E12" s="21">
        <f t="shared" si="0"/>
        <v>131293.80000000075</v>
      </c>
      <c r="F12" s="51">
        <f>E12/C12*100</f>
        <v>0.68462898482336731</v>
      </c>
      <c r="G12" s="52"/>
      <c r="H12" s="52"/>
      <c r="I12" s="54"/>
      <c r="J12" s="52"/>
      <c r="K12" s="55"/>
    </row>
    <row r="13" spans="1:13" s="56" customFormat="1" ht="54">
      <c r="A13" s="48">
        <v>7</v>
      </c>
      <c r="B13" s="57" t="s">
        <v>100</v>
      </c>
      <c r="C13" s="50">
        <v>745369.1</v>
      </c>
      <c r="D13" s="51">
        <f>C13+71597.8+19102.2</f>
        <v>836069.1</v>
      </c>
      <c r="E13" s="21">
        <f t="shared" si="0"/>
        <v>90700</v>
      </c>
      <c r="F13" s="51" t="s">
        <v>101</v>
      </c>
      <c r="G13" s="52"/>
      <c r="H13" s="52"/>
      <c r="I13" s="54"/>
      <c r="J13" s="52"/>
      <c r="K13" s="55"/>
    </row>
    <row r="14" spans="1:13" s="56" customFormat="1" ht="72">
      <c r="A14" s="48">
        <v>8</v>
      </c>
      <c r="B14" s="57" t="s">
        <v>102</v>
      </c>
      <c r="C14" s="50">
        <v>411335.9</v>
      </c>
      <c r="D14" s="51">
        <f>C14+2129.4</f>
        <v>413465.30000000005</v>
      </c>
      <c r="E14" s="21">
        <f t="shared" si="0"/>
        <v>2129.4000000000233</v>
      </c>
      <c r="F14" s="51">
        <f t="shared" ref="F14:F22" si="2">E14/C14*100</f>
        <v>0.51767910362310299</v>
      </c>
      <c r="G14" s="52"/>
      <c r="H14" s="52"/>
      <c r="I14" s="54"/>
      <c r="J14" s="52"/>
      <c r="K14" s="55"/>
    </row>
    <row r="15" spans="1:13" s="56" customFormat="1" ht="75" customHeight="1">
      <c r="A15" s="48">
        <v>9</v>
      </c>
      <c r="B15" s="57" t="s">
        <v>103</v>
      </c>
      <c r="C15" s="50">
        <v>2801915.9</v>
      </c>
      <c r="D15" s="51">
        <f t="shared" si="1"/>
        <v>2801915.9</v>
      </c>
      <c r="E15" s="21">
        <f t="shared" si="0"/>
        <v>0</v>
      </c>
      <c r="F15" s="51">
        <f t="shared" si="2"/>
        <v>0</v>
      </c>
      <c r="G15" s="52">
        <v>26429.5</v>
      </c>
      <c r="H15" s="52"/>
      <c r="I15" s="54">
        <f t="shared" ref="I15:I22" si="3">G15-H15</f>
        <v>26429.5</v>
      </c>
      <c r="J15" s="52">
        <v>26629.5</v>
      </c>
      <c r="K15" s="55"/>
    </row>
    <row r="16" spans="1:13" s="56" customFormat="1" ht="54">
      <c r="A16" s="48">
        <v>10</v>
      </c>
      <c r="B16" s="57" t="s">
        <v>104</v>
      </c>
      <c r="C16" s="50">
        <v>1094047.8</v>
      </c>
      <c r="D16" s="51">
        <f t="shared" si="1"/>
        <v>1094047.8</v>
      </c>
      <c r="E16" s="21">
        <f t="shared" si="0"/>
        <v>0</v>
      </c>
      <c r="F16" s="51">
        <f t="shared" si="2"/>
        <v>0</v>
      </c>
      <c r="G16" s="52">
        <v>73020</v>
      </c>
      <c r="H16" s="52"/>
      <c r="I16" s="54">
        <f t="shared" si="3"/>
        <v>73020</v>
      </c>
      <c r="J16" s="52">
        <v>73020</v>
      </c>
      <c r="K16" s="55"/>
    </row>
    <row r="17" spans="1:11" s="56" customFormat="1" ht="55.2" customHeight="1">
      <c r="A17" s="48">
        <v>11</v>
      </c>
      <c r="B17" s="57" t="s">
        <v>105</v>
      </c>
      <c r="C17" s="50">
        <v>1106069.7</v>
      </c>
      <c r="D17" s="51">
        <f>C17+25147.3</f>
        <v>1131217</v>
      </c>
      <c r="E17" s="21">
        <f t="shared" si="0"/>
        <v>25147.300000000047</v>
      </c>
      <c r="F17" s="51">
        <f t="shared" si="2"/>
        <v>2.2735728137205138</v>
      </c>
      <c r="G17" s="52">
        <v>239613.8</v>
      </c>
      <c r="H17" s="52"/>
      <c r="I17" s="54">
        <f t="shared" si="3"/>
        <v>239613.8</v>
      </c>
      <c r="J17" s="52">
        <v>238778.8</v>
      </c>
      <c r="K17" s="55"/>
    </row>
    <row r="18" spans="1:11" s="56" customFormat="1" ht="36">
      <c r="A18" s="48">
        <v>12</v>
      </c>
      <c r="B18" s="57" t="s">
        <v>106</v>
      </c>
      <c r="C18" s="50">
        <v>479368.5</v>
      </c>
      <c r="D18" s="51">
        <f>C18+1000+355528.1-7800+700</f>
        <v>828796.6</v>
      </c>
      <c r="E18" s="21">
        <f t="shared" si="0"/>
        <v>349428.1</v>
      </c>
      <c r="F18" s="51">
        <f t="shared" si="2"/>
        <v>72.893421240653069</v>
      </c>
      <c r="G18" s="52">
        <v>0</v>
      </c>
      <c r="H18" s="52"/>
      <c r="I18" s="54">
        <f t="shared" si="3"/>
        <v>0</v>
      </c>
      <c r="J18" s="52">
        <v>0</v>
      </c>
      <c r="K18" s="55"/>
    </row>
    <row r="19" spans="1:11" s="56" customFormat="1" ht="54">
      <c r="A19" s="48">
        <v>13</v>
      </c>
      <c r="B19" s="57" t="s">
        <v>107</v>
      </c>
      <c r="C19" s="50">
        <v>12297110.6</v>
      </c>
      <c r="D19" s="51">
        <f>C19+131139+540875.1+118419.9</f>
        <v>13087544.6</v>
      </c>
      <c r="E19" s="21">
        <f t="shared" si="0"/>
        <v>790434</v>
      </c>
      <c r="F19" s="51">
        <f t="shared" si="2"/>
        <v>6.427802641703491</v>
      </c>
      <c r="G19" s="52">
        <v>0</v>
      </c>
      <c r="H19" s="52">
        <v>0</v>
      </c>
      <c r="I19" s="54">
        <f t="shared" si="3"/>
        <v>0</v>
      </c>
      <c r="J19" s="52">
        <v>0</v>
      </c>
      <c r="K19" s="55"/>
    </row>
    <row r="20" spans="1:11" s="56" customFormat="1" ht="54">
      <c r="A20" s="48">
        <v>14</v>
      </c>
      <c r="B20" s="57" t="s">
        <v>108</v>
      </c>
      <c r="C20" s="50">
        <v>6356872.2999999998</v>
      </c>
      <c r="D20" s="51">
        <f>C20-128000</f>
        <v>6228872.2999999998</v>
      </c>
      <c r="E20" s="21">
        <f t="shared" si="0"/>
        <v>-128000</v>
      </c>
      <c r="F20" s="51">
        <f t="shared" si="2"/>
        <v>-2.0135688426523841</v>
      </c>
      <c r="G20" s="52">
        <v>0</v>
      </c>
      <c r="H20" s="52"/>
      <c r="I20" s="54">
        <f t="shared" si="3"/>
        <v>0</v>
      </c>
      <c r="J20" s="52">
        <v>0</v>
      </c>
      <c r="K20" s="55"/>
    </row>
    <row r="21" spans="1:11" s="56" customFormat="1" ht="76.8" customHeight="1">
      <c r="A21" s="48">
        <v>15</v>
      </c>
      <c r="B21" s="57" t="s">
        <v>109</v>
      </c>
      <c r="C21" s="50">
        <v>4747162.5</v>
      </c>
      <c r="D21" s="51">
        <f t="shared" si="1"/>
        <v>4747162.5</v>
      </c>
      <c r="E21" s="21">
        <f t="shared" si="0"/>
        <v>0</v>
      </c>
      <c r="F21" s="51">
        <f t="shared" si="2"/>
        <v>0</v>
      </c>
      <c r="G21" s="52">
        <v>0</v>
      </c>
      <c r="H21" s="52"/>
      <c r="I21" s="54">
        <f t="shared" si="3"/>
        <v>0</v>
      </c>
      <c r="J21" s="52">
        <v>0</v>
      </c>
      <c r="K21" s="55"/>
    </row>
    <row r="22" spans="1:11" s="56" customFormat="1" ht="54">
      <c r="A22" s="48">
        <v>16</v>
      </c>
      <c r="B22" s="57" t="s">
        <v>110</v>
      </c>
      <c r="C22" s="50">
        <v>167125.6</v>
      </c>
      <c r="D22" s="51">
        <f>C22+12688.8-8000+7800</f>
        <v>179614.4</v>
      </c>
      <c r="E22" s="21">
        <f t="shared" si="0"/>
        <v>12488.799999999988</v>
      </c>
      <c r="F22" s="51">
        <f t="shared" si="2"/>
        <v>7.4727031645660444</v>
      </c>
      <c r="G22" s="52">
        <v>582</v>
      </c>
      <c r="H22" s="52"/>
      <c r="I22" s="54">
        <f t="shared" si="3"/>
        <v>582</v>
      </c>
      <c r="J22" s="52">
        <v>0</v>
      </c>
      <c r="K22" s="55"/>
    </row>
    <row r="23" spans="1:11" s="56" customFormat="1" ht="57.6" customHeight="1">
      <c r="A23" s="48">
        <v>17</v>
      </c>
      <c r="B23" s="57" t="s">
        <v>111</v>
      </c>
      <c r="C23" s="50">
        <v>815098.5</v>
      </c>
      <c r="D23" s="51">
        <f>C23+8658.4</f>
        <v>823756.9</v>
      </c>
      <c r="E23" s="21">
        <f t="shared" si="0"/>
        <v>8658.4000000000233</v>
      </c>
      <c r="F23" s="51"/>
      <c r="G23" s="59"/>
      <c r="H23" s="59"/>
      <c r="I23" s="60"/>
      <c r="J23" s="59"/>
      <c r="K23" s="55"/>
    </row>
    <row r="24" spans="1:11" s="56" customFormat="1" ht="72">
      <c r="A24" s="48">
        <v>18</v>
      </c>
      <c r="B24" s="57" t="s">
        <v>112</v>
      </c>
      <c r="C24" s="50">
        <v>44443.7</v>
      </c>
      <c r="D24" s="51">
        <f>C24+10000+29000</f>
        <v>83443.7</v>
      </c>
      <c r="E24" s="21">
        <f t="shared" si="0"/>
        <v>39000</v>
      </c>
      <c r="F24" s="51">
        <f t="shared" ref="F24:F30" si="4">E24/C24*100</f>
        <v>87.751469837119771</v>
      </c>
      <c r="G24" s="52">
        <v>1000</v>
      </c>
      <c r="H24" s="52">
        <v>6328.8</v>
      </c>
      <c r="I24" s="54">
        <f>G24-H24</f>
        <v>-5328.8</v>
      </c>
      <c r="J24" s="52">
        <v>1000</v>
      </c>
      <c r="K24" s="55"/>
    </row>
    <row r="25" spans="1:11" s="56" customFormat="1" ht="54">
      <c r="A25" s="48">
        <v>19</v>
      </c>
      <c r="B25" s="57" t="s">
        <v>113</v>
      </c>
      <c r="C25" s="50">
        <v>2091024</v>
      </c>
      <c r="D25" s="51">
        <f>C25+1293.1</f>
        <v>2092317.1</v>
      </c>
      <c r="E25" s="21">
        <f t="shared" si="0"/>
        <v>1293.1000000000931</v>
      </c>
      <c r="F25" s="51">
        <f t="shared" si="4"/>
        <v>6.1840514503903023E-2</v>
      </c>
      <c r="G25" s="52"/>
      <c r="H25" s="52"/>
      <c r="I25" s="54"/>
      <c r="J25" s="52"/>
      <c r="K25" s="55"/>
    </row>
    <row r="26" spans="1:11" s="56" customFormat="1" ht="36">
      <c r="A26" s="48">
        <v>20</v>
      </c>
      <c r="B26" s="57" t="s">
        <v>114</v>
      </c>
      <c r="C26" s="50">
        <v>922977.5</v>
      </c>
      <c r="D26" s="51">
        <f t="shared" si="1"/>
        <v>922977.5</v>
      </c>
      <c r="E26" s="21">
        <f t="shared" si="0"/>
        <v>0</v>
      </c>
      <c r="F26" s="51">
        <f t="shared" si="4"/>
        <v>0</v>
      </c>
      <c r="G26" s="61"/>
      <c r="H26" s="61"/>
      <c r="I26" s="61"/>
      <c r="J26" s="61"/>
      <c r="K26" s="55"/>
    </row>
    <row r="27" spans="1:11" ht="54">
      <c r="A27" s="48">
        <v>21</v>
      </c>
      <c r="B27" s="57" t="s">
        <v>115</v>
      </c>
      <c r="C27" s="50">
        <v>964336.7</v>
      </c>
      <c r="D27" s="51">
        <f>C27+29256.8+3239</f>
        <v>996832.5</v>
      </c>
      <c r="E27" s="21">
        <f t="shared" si="0"/>
        <v>32495.800000000047</v>
      </c>
      <c r="F27" s="51">
        <f t="shared" si="4"/>
        <v>3.3697566420525162</v>
      </c>
    </row>
    <row r="28" spans="1:11" s="56" customFormat="1" ht="72">
      <c r="A28" s="48">
        <v>22</v>
      </c>
      <c r="B28" s="62" t="s">
        <v>116</v>
      </c>
      <c r="C28" s="50"/>
      <c r="D28" s="51">
        <f t="shared" si="1"/>
        <v>0</v>
      </c>
      <c r="E28" s="21">
        <f t="shared" si="0"/>
        <v>0</v>
      </c>
      <c r="F28" s="51"/>
      <c r="G28" s="59">
        <v>0</v>
      </c>
      <c r="H28" s="63"/>
      <c r="I28" s="60">
        <f>G28-H28</f>
        <v>0</v>
      </c>
      <c r="J28" s="59">
        <v>0</v>
      </c>
      <c r="K28" s="55"/>
    </row>
    <row r="29" spans="1:11" s="56" customFormat="1" ht="72">
      <c r="A29" s="48">
        <v>23</v>
      </c>
      <c r="B29" s="62" t="s">
        <v>117</v>
      </c>
      <c r="C29" s="64"/>
      <c r="D29" s="51">
        <f t="shared" si="1"/>
        <v>0</v>
      </c>
      <c r="E29" s="21">
        <f t="shared" si="0"/>
        <v>0</v>
      </c>
      <c r="F29" s="51"/>
      <c r="G29" s="52"/>
      <c r="H29" s="52"/>
      <c r="I29" s="54"/>
      <c r="J29" s="52"/>
      <c r="K29" s="55"/>
    </row>
    <row r="30" spans="1:11" s="56" customFormat="1" ht="17.399999999999999">
      <c r="A30" s="65"/>
      <c r="B30" s="66" t="s">
        <v>79</v>
      </c>
      <c r="C30" s="67">
        <f>SUM(C7:C29)</f>
        <v>71859752.300000012</v>
      </c>
      <c r="D30" s="68">
        <f>SUM(D7:D29)</f>
        <v>74307906.100000009</v>
      </c>
      <c r="E30" s="36">
        <f t="shared" si="0"/>
        <v>2448153.799999997</v>
      </c>
      <c r="F30" s="69">
        <f t="shared" si="4"/>
        <v>3.406849761712853</v>
      </c>
      <c r="G30" s="70">
        <f>SUM(G7:G28,G10:G29)</f>
        <v>879707.3</v>
      </c>
      <c r="H30" s="70">
        <f>SUM(H7:H28,H10:H29)</f>
        <v>12657.6</v>
      </c>
      <c r="I30" s="70">
        <f>SUM(I7:I28,I10:I29)</f>
        <v>867049.7</v>
      </c>
      <c r="J30" s="70">
        <f>SUM(J7:J28,J10:J29)</f>
        <v>861555.3</v>
      </c>
      <c r="K30" s="55"/>
    </row>
    <row r="31" spans="1:11" s="56" customFormat="1">
      <c r="B31" s="55"/>
      <c r="C31" s="71"/>
      <c r="D31" s="55"/>
      <c r="E31" s="55"/>
      <c r="F31" s="55"/>
      <c r="G31" s="55"/>
      <c r="H31" s="55"/>
      <c r="I31" s="55"/>
      <c r="J31" s="55"/>
      <c r="K31" s="55"/>
    </row>
    <row r="32" spans="1:11" s="56" customFormat="1" ht="15.6">
      <c r="B32" s="72"/>
      <c r="C32" s="55"/>
      <c r="D32" s="55"/>
      <c r="E32" s="55"/>
      <c r="F32" s="55"/>
      <c r="G32" s="55"/>
      <c r="H32" s="55"/>
      <c r="I32" s="55"/>
      <c r="J32" s="55"/>
      <c r="K32" s="55"/>
    </row>
    <row r="33" spans="1:11" s="73" customFormat="1" ht="16.2">
      <c r="C33" s="74"/>
      <c r="D33" s="75"/>
      <c r="E33" s="75"/>
      <c r="F33" s="76"/>
    </row>
    <row r="34" spans="1:11" s="73" customFormat="1" ht="16.2">
      <c r="B34" s="73" t="s">
        <v>80</v>
      </c>
      <c r="C34" s="74"/>
      <c r="D34" s="75"/>
      <c r="E34" s="75"/>
      <c r="F34" s="76"/>
    </row>
    <row r="35" spans="1:11" s="73" customFormat="1" ht="16.2">
      <c r="B35" s="73" t="s">
        <v>81</v>
      </c>
      <c r="C35" s="74"/>
      <c r="D35" s="75"/>
      <c r="E35" s="75"/>
      <c r="F35" s="76"/>
    </row>
    <row r="36" spans="1:11" s="73" customFormat="1" ht="16.2">
      <c r="B36" s="73" t="s">
        <v>82</v>
      </c>
      <c r="C36" s="74"/>
      <c r="D36" s="75"/>
      <c r="E36" s="75"/>
      <c r="F36" s="76"/>
    </row>
    <row r="37" spans="1:11" s="56" customFormat="1" ht="16.2">
      <c r="B37" s="73" t="s">
        <v>83</v>
      </c>
      <c r="C37" s="74"/>
      <c r="D37" s="75"/>
      <c r="E37" s="76" t="s">
        <v>84</v>
      </c>
      <c r="G37" s="55"/>
      <c r="H37" s="55"/>
      <c r="I37" s="55"/>
      <c r="J37" s="55"/>
      <c r="K37" s="55"/>
    </row>
    <row r="38" spans="1:11" s="56" customFormat="1"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 s="56" customFormat="1"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 s="56" customFormat="1"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 s="56" customFormat="1" ht="18">
      <c r="A41" s="77"/>
      <c r="B41" s="78"/>
      <c r="C41" s="79"/>
      <c r="D41" s="80"/>
      <c r="E41" s="81"/>
      <c r="F41" s="80"/>
      <c r="G41" s="55"/>
      <c r="H41" s="55"/>
      <c r="I41" s="55"/>
      <c r="J41" s="55"/>
      <c r="K41" s="55"/>
    </row>
    <row r="42" spans="1:11" s="56" customFormat="1" ht="18">
      <c r="A42" s="77"/>
      <c r="B42" s="78"/>
      <c r="C42" s="79"/>
      <c r="D42" s="80"/>
      <c r="E42" s="81"/>
      <c r="F42" s="80"/>
      <c r="G42" s="55"/>
      <c r="H42" s="55"/>
      <c r="I42" s="55"/>
      <c r="J42" s="55"/>
      <c r="K42" s="55"/>
    </row>
    <row r="43" spans="1:11" s="56" customFormat="1" ht="18">
      <c r="A43" s="77"/>
      <c r="B43" s="78"/>
      <c r="C43" s="79"/>
      <c r="D43" s="80"/>
      <c r="E43" s="81"/>
      <c r="F43" s="80"/>
      <c r="G43" s="55"/>
      <c r="H43" s="55"/>
      <c r="I43" s="55"/>
      <c r="J43" s="55"/>
      <c r="K43" s="55"/>
    </row>
    <row r="44" spans="1:11" s="56" customFormat="1" ht="18">
      <c r="A44" s="77"/>
      <c r="B44" s="78"/>
      <c r="C44" s="79"/>
      <c r="D44" s="80"/>
      <c r="E44" s="81"/>
      <c r="F44" s="80"/>
      <c r="G44" s="52">
        <v>0</v>
      </c>
      <c r="H44" s="52"/>
      <c r="I44" s="54">
        <f>G44-H44</f>
        <v>0</v>
      </c>
      <c r="J44" s="52">
        <v>0</v>
      </c>
      <c r="K44" s="55"/>
    </row>
    <row r="45" spans="1:11" s="56" customFormat="1" ht="18">
      <c r="A45" s="77"/>
      <c r="B45" s="78"/>
      <c r="C45" s="79"/>
      <c r="D45" s="80"/>
      <c r="E45" s="81"/>
      <c r="F45" s="80"/>
      <c r="G45" s="52">
        <v>0</v>
      </c>
      <c r="H45" s="52"/>
      <c r="I45" s="54">
        <f>G45-H45</f>
        <v>0</v>
      </c>
      <c r="J45" s="52">
        <v>0</v>
      </c>
      <c r="K45" s="55"/>
    </row>
    <row r="46" spans="1:11" s="56" customFormat="1"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s="56" customFormat="1"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 s="56" customFormat="1">
      <c r="B48" s="55"/>
      <c r="C48" s="55"/>
      <c r="D48" s="55"/>
      <c r="E48" s="55"/>
      <c r="F48" s="55"/>
      <c r="G48" s="55"/>
      <c r="H48" s="55"/>
      <c r="I48" s="55"/>
      <c r="J48" s="55"/>
      <c r="K48" s="55"/>
    </row>
  </sheetData>
  <mergeCells count="3">
    <mergeCell ref="E3:F3"/>
    <mergeCell ref="A4:F4"/>
    <mergeCell ref="F5:J5"/>
  </mergeCells>
  <conditionalFormatting sqref="E30 E12">
    <cfRule type="iconSet" priority="21">
      <iconSet iconSet="3Arrows">
        <cfvo type="percent" val="0"/>
        <cfvo type="percent" val="0"/>
        <cfvo type="percent" val="0" gte="0"/>
      </iconSet>
    </cfRule>
    <cfRule type="iconSet" priority="22">
      <iconSet iconSet="3Arrows">
        <cfvo type="percent" val="0"/>
        <cfvo type="percent" val="0"/>
        <cfvo type="percent" val="0"/>
      </iconSet>
    </cfRule>
  </conditionalFormatting>
  <conditionalFormatting sqref="E30 E12">
    <cfRule type="iconSet" priority="19">
      <iconSet iconSet="3Arrows">
        <cfvo type="percent" val="0"/>
        <cfvo type="num" val="0"/>
        <cfvo type="num" val="0" gte="0"/>
      </iconSet>
    </cfRule>
    <cfRule type="iconSet" priority="20">
      <iconSet>
        <cfvo type="percent" val="0"/>
        <cfvo type="num" val="0"/>
        <cfvo type="num" val="0" gte="0"/>
      </iconSet>
    </cfRule>
  </conditionalFormatting>
  <conditionalFormatting sqref="E12">
    <cfRule type="iconSet" priority="17">
      <iconSet iconSet="3Arrows">
        <cfvo type="percent" val="0"/>
        <cfvo type="num" val="0"/>
        <cfvo type="num" val="0" gte="0"/>
      </iconSet>
    </cfRule>
    <cfRule type="iconSet" priority="18">
      <iconSet>
        <cfvo type="percent" val="0"/>
        <cfvo type="num" val="0"/>
        <cfvo type="num" val="0" gte="0"/>
      </iconSet>
    </cfRule>
  </conditionalFormatting>
  <conditionalFormatting sqref="E30">
    <cfRule type="iconSet" priority="15">
      <iconSet iconSet="3Arrows">
        <cfvo type="percent" val="0"/>
        <cfvo type="num" val="0"/>
        <cfvo type="num" val="0" gte="0"/>
      </iconSet>
    </cfRule>
    <cfRule type="iconSet" priority="16">
      <iconSet>
        <cfvo type="percent" val="0"/>
        <cfvo type="num" val="0"/>
        <cfvo type="num" val="0" gte="0"/>
      </iconSet>
    </cfRule>
  </conditionalFormatting>
  <conditionalFormatting sqref="E14">
    <cfRule type="iconSet" priority="13">
      <iconSet iconSet="3Arrows">
        <cfvo type="percent" val="0"/>
        <cfvo type="percent" val="0"/>
        <cfvo type="percent" val="0" gte="0"/>
      </iconSet>
    </cfRule>
    <cfRule type="iconSet" priority="14">
      <iconSet iconSet="3Arrows">
        <cfvo type="percent" val="0"/>
        <cfvo type="percent" val="0"/>
        <cfvo type="percent" val="0"/>
      </iconSet>
    </cfRule>
  </conditionalFormatting>
  <conditionalFormatting sqref="E14">
    <cfRule type="iconSet" priority="11">
      <iconSet iconSet="3Arrows">
        <cfvo type="percent" val="0"/>
        <cfvo type="num" val="0"/>
        <cfvo type="num" val="0" gte="0"/>
      </iconSet>
    </cfRule>
    <cfRule type="iconSet" priority="12">
      <iconSet>
        <cfvo type="percent" val="0"/>
        <cfvo type="num" val="0"/>
        <cfvo type="num" val="0" gte="0"/>
      </iconSet>
    </cfRule>
  </conditionalFormatting>
  <conditionalFormatting sqref="E17">
    <cfRule type="iconSet" priority="9">
      <iconSet iconSet="3Arrows">
        <cfvo type="percent" val="0"/>
        <cfvo type="percent" val="0"/>
        <cfvo type="percent" val="0" gte="0"/>
      </iconSet>
    </cfRule>
    <cfRule type="iconSet" priority="10">
      <iconSet iconSet="3Arrows">
        <cfvo type="percent" val="0"/>
        <cfvo type="percent" val="0"/>
        <cfvo type="percent" val="0"/>
      </iconSet>
    </cfRule>
  </conditionalFormatting>
  <conditionalFormatting sqref="E17">
    <cfRule type="iconSet" priority="7">
      <iconSet iconSet="3Arrows">
        <cfvo type="percent" val="0"/>
        <cfvo type="num" val="0"/>
        <cfvo type="num" val="0" gte="0"/>
      </iconSet>
    </cfRule>
    <cfRule type="iconSet" priority="8">
      <iconSet>
        <cfvo type="percent" val="0"/>
        <cfvo type="num" val="0"/>
        <cfvo type="num" val="0" gte="0"/>
      </iconSet>
    </cfRule>
  </conditionalFormatting>
  <conditionalFormatting sqref="E30 E27 E22:E25 E17:E20 E7:E8 E10:E14">
    <cfRule type="iconSet" priority="5">
      <iconSet iconSet="3Arrows">
        <cfvo type="percent" val="0"/>
        <cfvo type="percent" val="0"/>
        <cfvo type="percent" val="0" gte="0"/>
      </iconSet>
    </cfRule>
    <cfRule type="iconSet" priority="6">
      <iconSet iconSet="3Arrows">
        <cfvo type="percent" val="0"/>
        <cfvo type="percent" val="0"/>
        <cfvo type="percent" val="0"/>
      </iconSet>
    </cfRule>
  </conditionalFormatting>
  <conditionalFormatting sqref="E30 E27 E22:E25 E17:E20 E7:E8 E10:E14">
    <cfRule type="iconSet" priority="3">
      <iconSet iconSet="3Arrows">
        <cfvo type="percent" val="0"/>
        <cfvo type="num" val="0"/>
        <cfvo type="num" val="0" gte="0"/>
      </iconSet>
    </cfRule>
    <cfRule type="iconSet" priority="4">
      <iconSet>
        <cfvo type="percent" val="0"/>
        <cfvo type="num" val="0"/>
        <cfvo type="num" val="0" gte="0"/>
      </iconSet>
    </cfRule>
  </conditionalFormatting>
  <conditionalFormatting sqref="E20">
    <cfRule type="iconSet" priority="1">
      <iconSet iconSet="3Arrows">
        <cfvo type="percent" val="0"/>
        <cfvo type="num" val="0"/>
        <cfvo type="num" val="0" gte="0"/>
      </iconSet>
    </cfRule>
    <cfRule type="iconSet" priority="2">
      <iconSet>
        <cfvo type="percent" val="0"/>
        <cfvo type="num" val="0"/>
        <cfvo type="num" val="0" gte="0"/>
      </iconSet>
    </cfRule>
  </conditionalFormatting>
  <pageMargins left="0.39370078740157483" right="0.23622047244094491" top="0.39370078740157483" bottom="0.39370078740157483" header="0.19685039370078741" footer="0.19685039370078741"/>
  <pageSetup paperSize="9" scale="7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Прил1</vt:lpstr>
      <vt:lpstr>Прил 2</vt:lpstr>
      <vt:lpstr>'Прил 2'!Заголовки_для_печати</vt:lpstr>
      <vt:lpstr>Прил1!Заголовки_для_печати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2017-11-27T11:48:17Z</dcterms:created>
  <dcterms:modified xsi:type="dcterms:W3CDTF">2017-11-27T11:50:36Z</dcterms:modified>
</cp:coreProperties>
</file>